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2" activeTab="3"/>
  </bookViews>
  <sheets>
    <sheet name="BILJINO VII-IX 2011." sheetId="1" r:id="rId1"/>
    <sheet name="IZVEŠTAJ VII-IX 2011." sheetId="2" r:id="rId2"/>
    <sheet name="I REBALANS 2011." sheetId="3" r:id="rId3"/>
    <sheet name="FP za  2017. pož " sheetId="4" r:id="rId4"/>
    <sheet name="Sheet1" sheetId="5" r:id="rId5"/>
  </sheets>
  <definedNames>
    <definedName name="_xlnm.Print_Area" localSheetId="3">'FP za  2017. pož '!$A$1:$AP$147</definedName>
  </definedNames>
  <calcPr fullCalcOnLoad="1"/>
</workbook>
</file>

<file path=xl/sharedStrings.xml><?xml version="1.0" encoding="utf-8"?>
<sst xmlns="http://schemas.openxmlformats.org/spreadsheetml/2006/main" count="3069" uniqueCount="475">
  <si>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</si>
  <si>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</si>
  <si>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</si>
  <si>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</si>
  <si>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</si>
  <si>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</si>
  <si>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</si>
  <si>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</si>
  <si>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</si>
  <si>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</si>
  <si>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</si>
  <si>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</si>
  <si>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</si>
  <si>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</si>
  <si>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</si>
  <si>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</si>
  <si>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</si>
  <si>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</si>
  <si>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</si>
  <si>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</si>
  <si>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</si>
  <si>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</si>
  <si>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</si>
  <si>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</si>
  <si>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</si>
  <si>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</si>
  <si>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</si>
  <si>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</si>
  <si>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</si>
  <si>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</si>
  <si>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</si>
  <si>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</si>
  <si>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</si>
  <si>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</si>
  <si>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</si>
  <si>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</si>
  <si>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</si>
  <si>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</si>
  <si>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</si>
  <si>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</si>
  <si>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</si>
  <si>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</si>
  <si>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</si>
  <si>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</si>
  <si>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</si>
  <si>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</si>
  <si>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</si>
  <si>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</si>
  <si>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</si>
  <si>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</si>
  <si>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</si>
  <si>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</si>
  <si>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</si>
  <si>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</si>
  <si>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</si>
  <si>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</si>
  <si>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</si>
  <si>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</si>
  <si>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</si>
  <si>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</si>
  <si>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</si>
  <si>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</si>
  <si>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</si>
  <si>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</si>
  <si>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</si>
  <si>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</si>
  <si>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</si>
  <si>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</si>
  <si>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</si>
  <si>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</si>
  <si>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</si>
  <si>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</si>
  <si>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</si>
  <si>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</si>
  <si>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</si>
  <si>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</si>
  <si>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</si>
  <si>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</si>
  <si>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</si>
  <si>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</si>
  <si>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</si>
  <si>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</si>
  <si>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</si>
  <si>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</si>
  <si>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</si>
  <si>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</si>
  <si>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</si>
  <si>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</si>
  <si>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</si>
  <si>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</si>
  <si>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</si>
  <si>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</si>
  <si>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</si>
  <si>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</si>
  <si>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</si>
  <si>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</si>
  <si>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</si>
  <si>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</si>
  <si>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</si>
  <si>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</si>
  <si>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</si>
  <si>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</si>
  <si>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</si>
  <si>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</si>
  <si>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</si>
  <si>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</si>
  <si>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</si>
  <si>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</si>
  <si>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</si>
  <si>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</si>
  <si>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</si>
  <si>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</si>
  <si>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</si>
  <si>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</si>
  <si>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</si>
  <si>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</si>
  <si>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</si>
  <si>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</si>
  <si>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</si>
  <si>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</si>
  <si>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</si>
  <si>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</si>
  <si>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</si>
  <si>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</si>
  <si>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</si>
  <si>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</si>
  <si>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</si>
  <si>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</si>
  <si>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</si>
  <si>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</si>
  <si>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</si>
  <si>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</si>
  <si>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</si>
  <si>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</si>
  <si>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</si>
  <si>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</si>
  <si>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</si>
  <si>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</si>
  <si>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</si>
  <si>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</si>
  <si>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</si>
  <si>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</si>
  <si>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</si>
  <si>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</si>
  <si>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</si>
  <si>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</si>
  <si>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</si>
  <si>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</si>
  <si>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</si>
  <si>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</si>
  <si>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</si>
  <si>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</si>
  <si>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</si>
  <si>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</si>
  <si>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</si>
  <si>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</si>
  <si>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</si>
  <si>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</si>
  <si>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</si>
  <si>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</si>
  <si>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</si>
  <si>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</si>
  <si>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</si>
  <si>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</si>
  <si>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</si>
  <si>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</si>
  <si>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</si>
  <si>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</si>
  <si>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</si>
  <si>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</si>
  <si>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</si>
  <si>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</si>
  <si>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</si>
  <si>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</si>
  <si>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</si>
  <si>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</si>
  <si>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</si>
  <si>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</si>
  <si>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</si>
  <si>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</si>
  <si>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</si>
  <si>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</si>
  <si>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</si>
  <si>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</si>
  <si>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</si>
  <si>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</si>
  <si>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</si>
  <si>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</si>
  <si>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</si>
  <si>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</si>
  <si>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</si>
  <si>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</si>
  <si>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</si>
  <si>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</si>
  <si>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</si>
  <si>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</si>
  <si>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</si>
  <si>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</si>
  <si>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</si>
  <si>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</si>
  <si>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</si>
  <si>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</si>
  <si>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</si>
  <si>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</si>
  <si>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</si>
  <si>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</si>
  <si>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</si>
  <si>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</si>
  <si>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</si>
  <si>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</si>
  <si>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</si>
  <si>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</si>
  <si>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</si>
  <si>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</si>
  <si>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</si>
  <si>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</si>
  <si>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</si>
  <si>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</si>
  <si>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</si>
  <si>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</si>
  <si>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</si>
  <si>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</si>
  <si>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</si>
  <si>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</si>
  <si>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</si>
  <si>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</si>
  <si>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</si>
  <si>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</si>
  <si>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</si>
  <si>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</si>
  <si>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</si>
  <si>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</si>
  <si>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</si>
  <si>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</si>
  <si>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</si>
  <si>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</si>
  <si>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</si>
  <si>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</si>
  <si>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</si>
  <si>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</si>
  <si>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</si>
  <si>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</si>
  <si>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</si>
  <si>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</si>
  <si>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</si>
  <si>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</si>
  <si>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</si>
  <si>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</si>
  <si>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</si>
  <si>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</si>
  <si>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</si>
  <si>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</si>
  <si>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</si>
  <si>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</si>
  <si>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</si>
  <si>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</si>
  <si>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</si>
  <si>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</si>
  <si>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</si>
  <si>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</si>
  <si>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</si>
  <si>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</si>
  <si>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</si>
  <si>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</si>
  <si>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</si>
  <si>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</si>
  <si>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</si>
  <si>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</si>
  <si>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</si>
  <si>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</si>
  <si>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</si>
  <si>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</si>
  <si>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</si>
  <si>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</si>
  <si>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</si>
  <si>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</si>
  <si>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</si>
  <si>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</si>
  <si>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</si>
  <si>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</si>
  <si>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</si>
  <si>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</si>
  <si>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</si>
  <si>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</si>
  <si>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</si>
  <si>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</si>
  <si>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</si>
  <si>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</si>
  <si>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</si>
  <si>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</si>
  <si>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</si>
  <si>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</si>
  <si>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</si>
  <si>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</si>
  <si>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</si>
  <si>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</si>
  <si>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</si>
  <si>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</si>
  <si>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</si>
  <si>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</si>
  <si>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</si>
  <si>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</si>
  <si>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</si>
  <si>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</si>
  <si>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</si>
  <si>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</si>
  <si>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</si>
  <si>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</si>
  <si>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</si>
  <si>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</si>
  <si>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</si>
  <si>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</si>
  <si>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</si>
  <si>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</si>
  <si>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</si>
  <si>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</si>
  <si>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</si>
  <si>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</si>
  <si>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</si>
  <si>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</si>
  <si>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</si>
  <si>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</si>
  <si>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</si>
  <si>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</si>
  <si>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</si>
  <si>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</si>
  <si>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</si>
  <si>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</si>
  <si>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</si>
  <si>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</si>
  <si>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</si>
  <si>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</si>
  <si>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</si>
  <si>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</si>
  <si>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</si>
  <si>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</si>
  <si>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</si>
  <si>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</si>
  <si>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</si>
  <si>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</si>
  <si>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</si>
  <si>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</si>
  <si>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</si>
  <si>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</si>
  <si>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</si>
  <si>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</si>
  <si>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</si>
  <si>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</si>
  <si>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>SVEGA PRIHODI</t>
  </si>
  <si>
    <t>UKUPNO</t>
  </si>
  <si>
    <t>PROCENA ukupnog prihoda</t>
  </si>
  <si>
    <t>UKUPAN PLANIRANI PRIHOD</t>
  </si>
  <si>
    <t>PROCENA UKUPNOG PRIHODA</t>
  </si>
  <si>
    <t>Tabela 6. str.5.</t>
  </si>
  <si>
    <t>UKUPNI PRIHODI</t>
  </si>
  <si>
    <t>Donacije</t>
  </si>
  <si>
    <t xml:space="preserve"> Ekonomska klasifikacija</t>
  </si>
  <si>
    <t>OPIS</t>
  </si>
  <si>
    <t>RFZO</t>
  </si>
  <si>
    <t>Sopstveni i ostali</t>
  </si>
  <si>
    <t>Socijalni doprinosi na teret poslodavca</t>
  </si>
  <si>
    <t>STALNI TROŠKOVI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</si>
  <si>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</si>
  <si>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</si>
  <si>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</si>
  <si>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</si>
  <si>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</si>
  <si>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Zubarski materijal</t>
  </si>
  <si>
    <t xml:space="preserve">AMORTIZACIJA </t>
  </si>
  <si>
    <t>OTPLATA KAMATA I PRATEĆI TR. ZADUŽIVANJA</t>
  </si>
  <si>
    <t>OSTALI RASHODI</t>
  </si>
  <si>
    <t>MAŠINE I OPREMA</t>
  </si>
  <si>
    <t>PARTICIPACIJA</t>
  </si>
  <si>
    <t>PLATE UKUPNO</t>
  </si>
  <si>
    <t>Naknade troškova za zaposlene- prevoz UKUPNO</t>
  </si>
  <si>
    <t>Nagrade zaposlenima i ostali posebni rashodi- UKUPNO</t>
  </si>
  <si>
    <t>stomatologija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</si>
  <si>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</si>
  <si>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</si>
  <si>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</si>
  <si>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</si>
  <si>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</si>
  <si>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</si>
  <si>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</si>
  <si>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</si>
  <si>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</si>
  <si>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</si>
  <si>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</si>
  <si>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</si>
  <si>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</si>
  <si>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materijalni i ostali troškovi umanjeni za participaciju</t>
  </si>
  <si>
    <t>ostali materijalni troškovi umanjeni za participaciju</t>
  </si>
  <si>
    <t>Sopstvena sredstva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</si>
  <si>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</si>
  <si>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</si>
  <si>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</si>
  <si>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</si>
  <si>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</si>
  <si>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</si>
  <si>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</si>
  <si>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</si>
  <si>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</si>
  <si>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 xml:space="preserve">Prihodi od  Kopaonika </t>
  </si>
  <si>
    <t>Ostale naknade štete</t>
  </si>
  <si>
    <t>Iz budžeta Grada</t>
  </si>
  <si>
    <t xml:space="preserve">lekovi </t>
  </si>
  <si>
    <t>411000 i 412000</t>
  </si>
  <si>
    <t>Bruto zarade zaposlenih</t>
  </si>
  <si>
    <t xml:space="preserve">SVEGA  RASHODI </t>
  </si>
  <si>
    <t>Ttransferi od drugih nivoa vlasti ( NA OSNOVU ODLUKE O BUDŽETU ZA 2016.)</t>
  </si>
  <si>
    <t>Lekovi bez SANDOSTATINA</t>
  </si>
  <si>
    <t>Ek.klas.</t>
  </si>
  <si>
    <t>Strucne usluge- ugovri o delu,privremenim poslovima i naknada za UO)</t>
  </si>
  <si>
    <t>TROŠKOVI PUTOVANJA dnevnice</t>
  </si>
  <si>
    <t>Sanitetski materijal sa labaratorijskim materijalom</t>
  </si>
  <si>
    <t>Ostali materijal za očuvanje životne sredine</t>
  </si>
  <si>
    <t>Radio- televizijska pretplata</t>
  </si>
  <si>
    <t>Mater.za obraz.i usavrs.zaposlenih-stručna liter.</t>
  </si>
  <si>
    <t>Naknade u naturi  - markice I POKLONI ZA Novu godinu prevoz radnika Kopaonik</t>
  </si>
  <si>
    <t>Bolovanja</t>
  </si>
  <si>
    <t>Otpremnine i pomoći</t>
  </si>
  <si>
    <t>Pomoć umed.lečenju u lečenju i druge pomoći zaposlenima</t>
  </si>
  <si>
    <t>Socijalna davanja zaposlenima - ref.bolovanja,otpremnine i solidarne pomoći-Napomena : plan za 2016 je solidarna pomoć</t>
  </si>
  <si>
    <t>Lekovi-Sandostatin</t>
  </si>
  <si>
    <t>Ostali nematerijalni troškovi neiskorišćen god. Odmor za radnike hitne koje je pl.opština</t>
  </si>
  <si>
    <t>Ostale specijalizovane usluge i akreditacija</t>
  </si>
  <si>
    <t>Prihodi iz budžeta</t>
  </si>
  <si>
    <t>Prihodi od prodaje pokretne imovine-vozila</t>
  </si>
  <si>
    <t>Komunalne usluge i deratizacija</t>
  </si>
  <si>
    <t>Ostali medicinski i laboratorijski materijal med- vakutejneri</t>
  </si>
  <si>
    <t>Mater.za odrzavanje hig.i ugostitelj i papirne rolne</t>
  </si>
  <si>
    <t>Prihodi od donacija</t>
  </si>
  <si>
    <t>Tekući  dobrovoljni transferi od fizičkih i pravnih lica</t>
  </si>
  <si>
    <t>Materijal za posebne namene(alat i inventar), potrošni materijal i venecijaneri</t>
  </si>
  <si>
    <t xml:space="preserve">  PEDLOG   FINANSIJSKOG PLANA ZA 2017. GODINU  - I rebalans</t>
  </si>
  <si>
    <t>PREDLOG ZA I REBALANS</t>
  </si>
  <si>
    <t>RAZLIKA  I REBALANSA U ODNOSU NA FINANSIJSKI PLAN ZA 2017.GOD.</t>
  </si>
  <si>
    <t xml:space="preserve">PLAN ZA 2017. </t>
  </si>
  <si>
    <t>Medicinska i laboratorijska oprema</t>
  </si>
  <si>
    <t>Jedan digitalni RO aparat sa grafijom</t>
  </si>
  <si>
    <t>Jedan digitalni RO aparat sa grafijom za Kostolac</t>
  </si>
  <si>
    <t>Jedan CTG aparat</t>
  </si>
  <si>
    <t>Sedam UZ aparata sa sondama</t>
  </si>
  <si>
    <t>Tiha komora</t>
  </si>
  <si>
    <t>Inhalator</t>
  </si>
  <si>
    <t>Pet EKG aparata</t>
  </si>
  <si>
    <t>Autoklav veći</t>
  </si>
  <si>
    <t>Stolica za oralnu hirurgiju</t>
  </si>
  <si>
    <t>Tri termokautera</t>
  </si>
  <si>
    <t>Pet helio lampe</t>
  </si>
  <si>
    <t>Tri aparata za ispitivanje vitaliteta zuba</t>
  </si>
  <si>
    <t>Kavitron dva</t>
  </si>
  <si>
    <t>Četiri led turbine</t>
  </si>
  <si>
    <t>Šest UZ kadice za pranje instrumenata</t>
  </si>
  <si>
    <t>Jedan UZ aparat za pregled kukova beba</t>
  </si>
  <si>
    <t>Oprema za fizikalnu terapiju</t>
  </si>
  <si>
    <t>Prihodi od imovine po polisi osiguranja i sredstva koja su ostala na žiro računu 93.422,27</t>
  </si>
  <si>
    <t xml:space="preserve">Pazar primarna zz </t>
  </si>
  <si>
    <t>Mešoviti i neodredjeni prihodi -telefon.impul. I zzjz i prod alum stol.</t>
  </si>
  <si>
    <t>Tri vozila</t>
  </si>
  <si>
    <t>kancalariski nameštaj u prostorijama administracije</t>
  </si>
  <si>
    <t>Metalni ormani sa ključem</t>
  </si>
  <si>
    <t>Računarska oprema</t>
  </si>
  <si>
    <t>Oprema za domaćinstvo</t>
  </si>
  <si>
    <t>oprema za ugostiteljstv-Kopaonik</t>
  </si>
  <si>
    <t>Oprema za komunikaciju centrala</t>
  </si>
  <si>
    <t>Ugradna oprema</t>
  </si>
  <si>
    <t>Oprema za saobraćaj</t>
  </si>
  <si>
    <t>Medicinska oprema u ordinaciji namestaj- otomani,dvostepenik kolica</t>
  </si>
  <si>
    <t xml:space="preserve"> Jedno specijalna sanitetska vozila reanomobil</t>
  </si>
  <si>
    <t>Tekuce popravke I odrz.zgrada I objekata ( po planu)</t>
  </si>
  <si>
    <t>UKUPNO 2017. gpdina</t>
  </si>
  <si>
    <t>Iz budžeta grada</t>
  </si>
  <si>
    <t>Sopstveni prihodi</t>
  </si>
  <si>
    <t>RASHODI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</si>
</sst>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42" borderId="0" xfId="0" applyFont="1" applyFill="1" applyAlignment="1">
      <alignment/>
    </xf>
    <xf numFmtId="4" fontId="5" fillId="42" borderId="0" xfId="0" applyNumberFormat="1" applyFont="1" applyFill="1" applyAlignment="1">
      <alignment horizontal="right"/>
    </xf>
    <xf numFmtId="0" fontId="6" fillId="42" borderId="0" xfId="0" applyFont="1" applyFill="1" applyAlignment="1">
      <alignment/>
    </xf>
    <xf numFmtId="4" fontId="6" fillId="42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42" borderId="10" xfId="0" applyFont="1" applyFill="1" applyBorder="1" applyAlignment="1">
      <alignment horizontal="center" vertical="center" wrapText="1"/>
    </xf>
    <xf numFmtId="4" fontId="5" fillId="43" borderId="10" xfId="0" applyNumberFormat="1" applyFont="1" applyFill="1" applyBorder="1" applyAlignment="1">
      <alignment horizontal="center" vertical="center" wrapText="1"/>
    </xf>
    <xf numFmtId="4" fontId="5" fillId="42" borderId="10" xfId="0" applyNumberFormat="1" applyFont="1" applyFill="1" applyBorder="1" applyAlignment="1">
      <alignment horizontal="center" vertical="center" wrapText="1"/>
    </xf>
    <xf numFmtId="4" fontId="6" fillId="4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2" borderId="11" xfId="0" applyFont="1" applyFill="1" applyBorder="1" applyAlignment="1">
      <alignment horizontal="right" wrapText="1"/>
    </xf>
    <xf numFmtId="0" fontId="5" fillId="42" borderId="11" xfId="0" applyFont="1" applyFill="1" applyBorder="1" applyAlignment="1">
      <alignment horizontal="left" wrapText="1"/>
    </xf>
    <xf numFmtId="4" fontId="5" fillId="43" borderId="11" xfId="0" applyNumberFormat="1" applyFont="1" applyFill="1" applyBorder="1" applyAlignment="1">
      <alignment horizontal="right" wrapText="1"/>
    </xf>
    <xf numFmtId="4" fontId="5" fillId="42" borderId="10" xfId="0" applyNumberFormat="1" applyFont="1" applyFill="1" applyBorder="1" applyAlignment="1">
      <alignment/>
    </xf>
    <xf numFmtId="4" fontId="6" fillId="42" borderId="10" xfId="0" applyNumberFormat="1" applyFont="1" applyFill="1" applyBorder="1" applyAlignment="1">
      <alignment/>
    </xf>
    <xf numFmtId="0" fontId="5" fillId="42" borderId="10" xfId="0" applyFont="1" applyFill="1" applyBorder="1" applyAlignment="1">
      <alignment/>
    </xf>
    <xf numFmtId="4" fontId="5" fillId="43" borderId="10" xfId="0" applyNumberFormat="1" applyFont="1" applyFill="1" applyBorder="1" applyAlignment="1">
      <alignment horizontal="right"/>
    </xf>
    <xf numFmtId="0" fontId="6" fillId="42" borderId="11" xfId="0" applyFont="1" applyFill="1" applyBorder="1" applyAlignment="1">
      <alignment/>
    </xf>
    <xf numFmtId="0" fontId="6" fillId="42" borderId="11" xfId="0" applyFont="1" applyFill="1" applyBorder="1" applyAlignment="1">
      <alignment wrapText="1"/>
    </xf>
    <xf numFmtId="4" fontId="6" fillId="43" borderId="11" xfId="0" applyNumberFormat="1" applyFont="1" applyFill="1" applyBorder="1" applyAlignment="1">
      <alignment horizontal="right" wrapText="1"/>
    </xf>
    <xf numFmtId="0" fontId="6" fillId="42" borderId="10" xfId="0" applyFont="1" applyFill="1" applyBorder="1" applyAlignment="1">
      <alignment/>
    </xf>
    <xf numFmtId="4" fontId="6" fillId="43" borderId="10" xfId="0" applyNumberFormat="1" applyFont="1" applyFill="1" applyBorder="1" applyAlignment="1">
      <alignment horizontal="right"/>
    </xf>
    <xf numFmtId="0" fontId="5" fillId="42" borderId="10" xfId="0" applyFont="1" applyFill="1" applyBorder="1" applyAlignment="1">
      <alignment wrapText="1"/>
    </xf>
    <xf numFmtId="4" fontId="6" fillId="43" borderId="0" xfId="0" applyNumberFormat="1" applyFont="1" applyFill="1" applyAlignment="1">
      <alignment horizontal="right"/>
    </xf>
    <xf numFmtId="4" fontId="5" fillId="43" borderId="10" xfId="0" applyNumberFormat="1" applyFont="1" applyFill="1" applyBorder="1" applyAlignment="1">
      <alignment horizontal="right" wrapText="1"/>
    </xf>
    <xf numFmtId="1" fontId="6" fillId="42" borderId="10" xfId="0" applyNumberFormat="1" applyFont="1" applyFill="1" applyBorder="1" applyAlignment="1">
      <alignment/>
    </xf>
    <xf numFmtId="0" fontId="6" fillId="42" borderId="10" xfId="0" applyFont="1" applyFill="1" applyBorder="1" applyAlignment="1">
      <alignment wrapText="1"/>
    </xf>
    <xf numFmtId="4" fontId="6" fillId="43" borderId="10" xfId="0" applyNumberFormat="1" applyFont="1" applyFill="1" applyBorder="1" applyAlignment="1">
      <alignment horizontal="right" wrapText="1"/>
    </xf>
    <xf numFmtId="1" fontId="5" fillId="42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2" borderId="11" xfId="0" applyFont="1" applyFill="1" applyBorder="1" applyAlignment="1">
      <alignment/>
    </xf>
    <xf numFmtId="4" fontId="5" fillId="43" borderId="11" xfId="0" applyNumberFormat="1" applyFont="1" applyFill="1" applyBorder="1" applyAlignment="1">
      <alignment horizontal="right"/>
    </xf>
    <xf numFmtId="4" fontId="5" fillId="42" borderId="11" xfId="0" applyNumberFormat="1" applyFont="1" applyFill="1" applyBorder="1" applyAlignment="1">
      <alignment/>
    </xf>
    <xf numFmtId="1" fontId="5" fillId="42" borderId="0" xfId="0" applyNumberFormat="1" applyFont="1" applyFill="1" applyBorder="1" applyAlignment="1">
      <alignment/>
    </xf>
    <xf numFmtId="0" fontId="5" fillId="42" borderId="0" xfId="0" applyFont="1" applyFill="1" applyBorder="1" applyAlignment="1">
      <alignment/>
    </xf>
    <xf numFmtId="4" fontId="5" fillId="42" borderId="0" xfId="0" applyNumberFormat="1" applyFont="1" applyFill="1" applyBorder="1" applyAlignment="1">
      <alignment horizontal="right"/>
    </xf>
    <xf numFmtId="0" fontId="5" fillId="42" borderId="0" xfId="0" applyFont="1" applyFill="1" applyBorder="1" applyAlignment="1">
      <alignment wrapText="1"/>
    </xf>
    <xf numFmtId="4" fontId="5" fillId="42" borderId="0" xfId="0" applyNumberFormat="1" applyFont="1" applyFill="1" applyBorder="1" applyAlignment="1">
      <alignment horizontal="right" wrapText="1"/>
    </xf>
    <xf numFmtId="0" fontId="6" fillId="42" borderId="0" xfId="0" applyFont="1" applyFill="1" applyBorder="1" applyAlignment="1">
      <alignment/>
    </xf>
    <xf numFmtId="0" fontId="5" fillId="42" borderId="10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171" fontId="5" fillId="42" borderId="10" xfId="42" applyFont="1" applyFill="1" applyBorder="1" applyAlignment="1">
      <alignment/>
    </xf>
    <xf numFmtId="4" fontId="5" fillId="43" borderId="10" xfId="42" applyNumberFormat="1" applyFont="1" applyFill="1" applyBorder="1" applyAlignment="1">
      <alignment horizontal="right"/>
    </xf>
    <xf numFmtId="4" fontId="5" fillId="42" borderId="19" xfId="0" applyNumberFormat="1" applyFont="1" applyFill="1" applyBorder="1" applyAlignment="1">
      <alignment/>
    </xf>
    <xf numFmtId="4" fontId="6" fillId="43" borderId="10" xfId="42" applyNumberFormat="1" applyFont="1" applyFill="1" applyBorder="1" applyAlignment="1">
      <alignment horizontal="right"/>
    </xf>
    <xf numFmtId="4" fontId="6" fillId="42" borderId="10" xfId="0" applyNumberFormat="1" applyFont="1" applyFill="1" applyBorder="1" applyAlignment="1">
      <alignment/>
    </xf>
    <xf numFmtId="171" fontId="5" fillId="42" borderId="10" xfId="42" applyFont="1" applyFill="1" applyBorder="1" applyAlignment="1">
      <alignment wrapText="1"/>
    </xf>
    <xf numFmtId="4" fontId="5" fillId="43" borderId="10" xfId="42" applyNumberFormat="1" applyFont="1" applyFill="1" applyBorder="1" applyAlignment="1">
      <alignment horizontal="right" wrapText="1"/>
    </xf>
    <xf numFmtId="4" fontId="6" fillId="42" borderId="19" xfId="0" applyNumberFormat="1" applyFont="1" applyFill="1" applyBorder="1" applyAlignment="1">
      <alignment/>
    </xf>
    <xf numFmtId="171" fontId="6" fillId="42" borderId="10" xfId="42" applyFont="1" applyFill="1" applyBorder="1" applyAlignment="1">
      <alignment/>
    </xf>
    <xf numFmtId="171" fontId="6" fillId="42" borderId="10" xfId="42" applyFont="1" applyFill="1" applyBorder="1" applyAlignment="1">
      <alignment wrapText="1"/>
    </xf>
    <xf numFmtId="4" fontId="6" fillId="43" borderId="10" xfId="42" applyNumberFormat="1" applyFont="1" applyFill="1" applyBorder="1" applyAlignment="1">
      <alignment horizontal="right" wrapText="1"/>
    </xf>
    <xf numFmtId="4" fontId="5" fillId="42" borderId="10" xfId="0" applyNumberFormat="1" applyFont="1" applyFill="1" applyBorder="1" applyAlignment="1">
      <alignment horizontal="center" vertical="center"/>
    </xf>
    <xf numFmtId="4" fontId="5" fillId="43" borderId="19" xfId="42" applyNumberFormat="1" applyFont="1" applyFill="1" applyBorder="1" applyAlignment="1">
      <alignment horizontal="right"/>
    </xf>
    <xf numFmtId="171" fontId="5" fillId="42" borderId="0" xfId="42" applyFont="1" applyFill="1" applyBorder="1" applyAlignment="1">
      <alignment/>
    </xf>
    <xf numFmtId="4" fontId="5" fillId="42" borderId="0" xfId="42" applyNumberFormat="1" applyFont="1" applyFill="1" applyBorder="1" applyAlignment="1">
      <alignment horizontal="right"/>
    </xf>
    <xf numFmtId="4" fontId="5" fillId="42" borderId="0" xfId="0" applyNumberFormat="1" applyFont="1" applyFill="1" applyBorder="1" applyAlignment="1">
      <alignment/>
    </xf>
    <xf numFmtId="4" fontId="6" fillId="42" borderId="0" xfId="0" applyNumberFormat="1" applyFont="1" applyFill="1" applyBorder="1" applyAlignment="1">
      <alignment/>
    </xf>
    <xf numFmtId="4" fontId="5" fillId="42" borderId="31" xfId="42" applyNumberFormat="1" applyFont="1" applyFill="1" applyBorder="1" applyAlignment="1">
      <alignment horizontal="right"/>
    </xf>
    <xf numFmtId="0" fontId="6" fillId="43" borderId="0" xfId="0" applyFont="1" applyFill="1" applyAlignment="1">
      <alignment/>
    </xf>
    <xf numFmtId="4" fontId="5" fillId="42" borderId="10" xfId="0" applyNumberFormat="1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3" borderId="10" xfId="0" applyFont="1" applyFill="1" applyBorder="1" applyAlignment="1">
      <alignment wrapText="1"/>
    </xf>
    <xf numFmtId="4" fontId="6" fillId="42" borderId="12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3" fillId="36" borderId="10" xfId="0" applyFont="1" applyFill="1" applyBorder="1" applyAlignment="1">
      <alignment/>
    </xf>
    <xf numFmtId="0" fontId="5" fillId="42" borderId="20" xfId="0" applyFont="1" applyFill="1" applyBorder="1" applyAlignment="1">
      <alignment horizontal="center"/>
    </xf>
    <xf numFmtId="0" fontId="5" fillId="42" borderId="31" xfId="0" applyFont="1" applyFill="1" applyBorder="1" applyAlignment="1">
      <alignment horizontal="center"/>
    </xf>
    <xf numFmtId="0" fontId="5" fillId="42" borderId="19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0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1">
        <f aca="true" t="shared" si="7" ref="D166:I166">D557-D155</f>
        <v>15545285.779999986</v>
      </c>
      <c r="E166" s="381">
        <f t="shared" si="7"/>
        <v>6466221.519999996</v>
      </c>
      <c r="F166" s="381">
        <f t="shared" si="7"/>
        <v>68319.99999999977</v>
      </c>
      <c r="G166" s="381">
        <f t="shared" si="7"/>
        <v>9288610.32</v>
      </c>
      <c r="H166" s="381">
        <f t="shared" si="7"/>
        <v>-85656.73000000001</v>
      </c>
      <c r="I166" s="381">
        <f t="shared" si="7"/>
        <v>-192209.32999999984</v>
      </c>
      <c r="J166" s="382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83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83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83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83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83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83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83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83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83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84" t="s">
        <v>170</v>
      </c>
      <c r="G219" s="124"/>
      <c r="H219" s="124"/>
      <c r="I219" s="124"/>
      <c r="J219" s="385"/>
      <c r="K219" s="385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84" t="s">
        <v>170</v>
      </c>
      <c r="G263" s="124"/>
      <c r="H263" s="124"/>
      <c r="I263" s="124"/>
      <c r="J263" s="385"/>
      <c r="K263" s="385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86">
        <v>4263</v>
      </c>
      <c r="B272" s="135"/>
      <c r="C272" s="386" t="s">
        <v>115</v>
      </c>
      <c r="D272" s="371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87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84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87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85"/>
      <c r="K498" s="385"/>
    </row>
    <row r="499" spans="1:11" ht="12.75">
      <c r="A499" s="388">
        <v>512111</v>
      </c>
      <c r="B499" s="388"/>
      <c r="C499" s="389" t="s">
        <v>124</v>
      </c>
      <c r="D499" s="100">
        <v>1376602.5</v>
      </c>
      <c r="E499" s="390">
        <v>1400000</v>
      </c>
      <c r="F499" s="138"/>
      <c r="G499" s="145"/>
      <c r="H499" s="391"/>
      <c r="I499" s="391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1"/>
      <c r="I500" s="391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0" t="s">
        <v>205</v>
      </c>
      <c r="D559" s="194">
        <f>D560+D561</f>
        <v>5087554.279999999</v>
      </c>
      <c r="E559" s="194"/>
      <c r="F559" s="194"/>
      <c r="G559" s="194"/>
      <c r="H559" s="194"/>
      <c r="I559" s="371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2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73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74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75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75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76" t="s">
        <v>4</v>
      </c>
      <c r="F572" s="152" t="s">
        <v>197</v>
      </c>
      <c r="G572" s="377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78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78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78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78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78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78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78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78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78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79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77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28"/>
      <c r="B1" s="228"/>
      <c r="C1" s="228"/>
      <c r="D1" s="229" t="s">
        <v>296</v>
      </c>
      <c r="E1" s="229"/>
      <c r="F1" s="229"/>
      <c r="G1" s="229"/>
      <c r="H1" s="228"/>
      <c r="I1" s="228"/>
      <c r="J1" s="230"/>
    </row>
    <row r="2" spans="1:11" ht="12.75">
      <c r="A2" s="231" t="s">
        <v>225</v>
      </c>
      <c r="B2" s="231"/>
      <c r="C2" s="231"/>
      <c r="D2" s="231"/>
      <c r="E2" s="231"/>
      <c r="F2" s="228"/>
      <c r="G2" s="228"/>
      <c r="H2" s="228"/>
      <c r="I2" s="228"/>
      <c r="J2" s="231" t="s">
        <v>223</v>
      </c>
      <c r="K2" s="27" t="s">
        <v>171</v>
      </c>
    </row>
    <row r="3" spans="1:11" ht="33.75">
      <c r="A3" s="232" t="s">
        <v>0</v>
      </c>
      <c r="B3" s="232" t="s">
        <v>208</v>
      </c>
      <c r="C3" s="232" t="s">
        <v>1</v>
      </c>
      <c r="D3" s="232" t="s">
        <v>2</v>
      </c>
      <c r="E3" s="232" t="s">
        <v>3</v>
      </c>
      <c r="F3" s="233" t="s">
        <v>4</v>
      </c>
      <c r="G3" s="232" t="s">
        <v>5</v>
      </c>
      <c r="H3" s="232" t="s">
        <v>6</v>
      </c>
      <c r="I3" s="232" t="s">
        <v>7</v>
      </c>
      <c r="J3" s="232" t="s">
        <v>175</v>
      </c>
      <c r="K3" s="112" t="s">
        <v>170</v>
      </c>
    </row>
    <row r="4" spans="1:11" ht="12.75">
      <c r="A4" s="234">
        <v>411111</v>
      </c>
      <c r="B4" s="235"/>
      <c r="C4" s="234" t="s">
        <v>8</v>
      </c>
      <c r="D4" s="236">
        <v>70678290.52</v>
      </c>
      <c r="E4" s="236">
        <v>68087492.37</v>
      </c>
      <c r="F4" s="236"/>
      <c r="G4" s="236">
        <v>2590798.15</v>
      </c>
      <c r="H4" s="236"/>
      <c r="I4" s="236"/>
      <c r="J4" s="235"/>
      <c r="K4" s="83"/>
    </row>
    <row r="5" spans="1:11" ht="12.75">
      <c r="A5" s="237">
        <v>411112</v>
      </c>
      <c r="B5" s="235"/>
      <c r="C5" s="237" t="s">
        <v>93</v>
      </c>
      <c r="D5" s="238">
        <v>701310.26</v>
      </c>
      <c r="E5" s="238">
        <v>701310.26</v>
      </c>
      <c r="F5" s="238"/>
      <c r="G5" s="238"/>
      <c r="H5" s="238"/>
      <c r="I5" s="238"/>
      <c r="J5" s="239"/>
      <c r="K5" s="84"/>
    </row>
    <row r="6" spans="1:11" ht="12.75">
      <c r="A6" s="237">
        <v>411113</v>
      </c>
      <c r="B6" s="235"/>
      <c r="C6" s="237" t="s">
        <v>9</v>
      </c>
      <c r="D6" s="238">
        <v>320610.99</v>
      </c>
      <c r="E6" s="238">
        <v>320610.99</v>
      </c>
      <c r="F6" s="238"/>
      <c r="G6" s="238"/>
      <c r="H6" s="238"/>
      <c r="I6" s="238"/>
      <c r="J6" s="239"/>
      <c r="K6" s="84"/>
    </row>
    <row r="7" spans="1:11" ht="12.75">
      <c r="A7" s="237">
        <v>411114</v>
      </c>
      <c r="B7" s="235"/>
      <c r="C7" s="237" t="s">
        <v>10</v>
      </c>
      <c r="D7" s="238">
        <v>435473.33</v>
      </c>
      <c r="E7" s="238">
        <v>435473.33</v>
      </c>
      <c r="F7" s="238"/>
      <c r="G7" s="238"/>
      <c r="H7" s="238"/>
      <c r="I7" s="238"/>
      <c r="J7" s="239"/>
      <c r="K7" s="84"/>
    </row>
    <row r="8" spans="1:11" ht="12.75">
      <c r="A8" s="237">
        <v>411115</v>
      </c>
      <c r="B8" s="235"/>
      <c r="C8" s="237" t="s">
        <v>11</v>
      </c>
      <c r="D8" s="238">
        <v>4736398.51</v>
      </c>
      <c r="E8" s="238">
        <v>4736398.51</v>
      </c>
      <c r="F8" s="238"/>
      <c r="G8" s="238"/>
      <c r="H8" s="238"/>
      <c r="I8" s="238"/>
      <c r="J8" s="239"/>
      <c r="K8" s="84"/>
    </row>
    <row r="9" spans="1:11" ht="12.75">
      <c r="A9" s="237">
        <v>411117</v>
      </c>
      <c r="B9" s="235"/>
      <c r="C9" s="237" t="s">
        <v>12</v>
      </c>
      <c r="D9" s="238">
        <v>1012899.65</v>
      </c>
      <c r="E9" s="238">
        <v>1012899.65</v>
      </c>
      <c r="F9" s="238"/>
      <c r="G9" s="238"/>
      <c r="H9" s="238"/>
      <c r="I9" s="238"/>
      <c r="J9" s="239"/>
      <c r="K9" s="84"/>
    </row>
    <row r="10" spans="1:11" ht="12.75">
      <c r="A10" s="240">
        <v>4111</v>
      </c>
      <c r="B10" s="235"/>
      <c r="C10" s="240" t="s">
        <v>92</v>
      </c>
      <c r="D10" s="241">
        <f>SUM(D4:D9)</f>
        <v>77884983.26</v>
      </c>
      <c r="E10" s="241">
        <f>SUM(E4:E9)</f>
        <v>75294185.11000001</v>
      </c>
      <c r="F10" s="241"/>
      <c r="G10" s="241">
        <f>SUM(G4:G9)</f>
        <v>2590798.15</v>
      </c>
      <c r="H10" s="241"/>
      <c r="I10" s="241"/>
      <c r="J10" s="242"/>
      <c r="K10" s="90"/>
    </row>
    <row r="11" spans="1:11" ht="12.75">
      <c r="A11" s="237">
        <v>412111</v>
      </c>
      <c r="B11" s="235"/>
      <c r="C11" s="237" t="s">
        <v>13</v>
      </c>
      <c r="D11" s="238">
        <v>8589604.95</v>
      </c>
      <c r="E11" s="238">
        <v>8303046.17</v>
      </c>
      <c r="F11" s="238"/>
      <c r="G11" s="238">
        <v>286558.78</v>
      </c>
      <c r="H11" s="238"/>
      <c r="I11" s="238"/>
      <c r="J11" s="239"/>
      <c r="K11" s="84"/>
    </row>
    <row r="12" spans="1:11" ht="12.75">
      <c r="A12" s="237">
        <v>412113</v>
      </c>
      <c r="B12" s="235"/>
      <c r="C12" s="237" t="s">
        <v>129</v>
      </c>
      <c r="D12" s="238">
        <v>416742.75</v>
      </c>
      <c r="E12" s="238"/>
      <c r="F12" s="238"/>
      <c r="G12" s="238">
        <v>416742.75</v>
      </c>
      <c r="H12" s="238"/>
      <c r="I12" s="238"/>
      <c r="J12" s="239"/>
      <c r="K12" s="84"/>
    </row>
    <row r="13" spans="1:11" ht="12.75">
      <c r="A13" s="240">
        <v>4121</v>
      </c>
      <c r="B13" s="235"/>
      <c r="C13" s="240" t="s">
        <v>94</v>
      </c>
      <c r="D13" s="241">
        <f>SUM(D11:D12)</f>
        <v>9006347.7</v>
      </c>
      <c r="E13" s="241">
        <f>SUM(E11:E12)</f>
        <v>8303046.17</v>
      </c>
      <c r="F13" s="241"/>
      <c r="G13" s="241">
        <f>SUM(G11:G12)</f>
        <v>703301.53</v>
      </c>
      <c r="H13" s="241"/>
      <c r="I13" s="241"/>
      <c r="J13" s="239"/>
      <c r="K13" s="84"/>
    </row>
    <row r="14" spans="1:11" ht="12.75">
      <c r="A14" s="237">
        <v>412211</v>
      </c>
      <c r="B14" s="235"/>
      <c r="C14" s="237" t="s">
        <v>14</v>
      </c>
      <c r="D14" s="238">
        <v>4802370.03</v>
      </c>
      <c r="E14" s="238">
        <v>4642157.63</v>
      </c>
      <c r="F14" s="238"/>
      <c r="G14" s="238">
        <v>160212.4</v>
      </c>
      <c r="H14" s="238"/>
      <c r="I14" s="238"/>
      <c r="J14" s="239"/>
      <c r="K14" s="84"/>
    </row>
    <row r="15" spans="1:11" ht="12.75">
      <c r="A15" s="240">
        <v>4122</v>
      </c>
      <c r="B15" s="235"/>
      <c r="C15" s="240" t="s">
        <v>14</v>
      </c>
      <c r="D15" s="241">
        <f>SUM(D14)</f>
        <v>4802370.03</v>
      </c>
      <c r="E15" s="241">
        <f>SUM(E14)</f>
        <v>4642157.63</v>
      </c>
      <c r="F15" s="241"/>
      <c r="G15" s="241">
        <f>SUM(G14)</f>
        <v>160212.4</v>
      </c>
      <c r="H15" s="241"/>
      <c r="I15" s="241"/>
      <c r="J15" s="239"/>
      <c r="K15" s="84"/>
    </row>
    <row r="16" spans="1:11" ht="12.75">
      <c r="A16" s="237">
        <v>412311</v>
      </c>
      <c r="B16" s="235"/>
      <c r="C16" s="237" t="s">
        <v>95</v>
      </c>
      <c r="D16" s="238">
        <v>585654.88</v>
      </c>
      <c r="E16" s="238">
        <v>566116.77</v>
      </c>
      <c r="F16" s="238"/>
      <c r="G16" s="238">
        <v>19538.11</v>
      </c>
      <c r="H16" s="238"/>
      <c r="I16" s="238"/>
      <c r="J16" s="239"/>
      <c r="K16" s="84"/>
    </row>
    <row r="17" spans="1:11" ht="12.75">
      <c r="A17" s="240">
        <v>4123</v>
      </c>
      <c r="B17" s="235"/>
      <c r="C17" s="240" t="s">
        <v>96</v>
      </c>
      <c r="D17" s="241">
        <f>SUM(D16)</f>
        <v>585654.88</v>
      </c>
      <c r="E17" s="241">
        <f>SUM(E16)</f>
        <v>566116.77</v>
      </c>
      <c r="F17" s="241"/>
      <c r="G17" s="241">
        <f>SUM(G16)</f>
        <v>19538.11</v>
      </c>
      <c r="H17" s="241"/>
      <c r="I17" s="241"/>
      <c r="J17" s="239"/>
      <c r="K17" s="84"/>
    </row>
    <row r="18" spans="1:11" s="97" customFormat="1" ht="12.75">
      <c r="A18" s="240"/>
      <c r="B18" s="243">
        <f>D18*100/107362902.49</f>
        <v>85.9508766341289</v>
      </c>
      <c r="C18" s="240" t="s">
        <v>174</v>
      </c>
      <c r="D18" s="241">
        <f aca="true" t="shared" si="0" ref="D18:I18">D17+D15+D13+D10</f>
        <v>92279355.87</v>
      </c>
      <c r="E18" s="241">
        <f t="shared" si="0"/>
        <v>88805505.68</v>
      </c>
      <c r="F18" s="241">
        <f t="shared" si="0"/>
        <v>0</v>
      </c>
      <c r="G18" s="241">
        <f t="shared" si="0"/>
        <v>3473850.19</v>
      </c>
      <c r="H18" s="241">
        <f t="shared" si="0"/>
        <v>0</v>
      </c>
      <c r="I18" s="241">
        <f t="shared" si="0"/>
        <v>0</v>
      </c>
      <c r="J18" s="242">
        <v>220216425</v>
      </c>
      <c r="K18" s="106">
        <f>D18*100/J18</f>
        <v>41.90393875933641</v>
      </c>
    </row>
    <row r="19" spans="1:11" ht="12.75">
      <c r="A19" s="237">
        <v>413151</v>
      </c>
      <c r="B19" s="235"/>
      <c r="C19" s="237" t="s">
        <v>15</v>
      </c>
      <c r="D19" s="238">
        <v>34400</v>
      </c>
      <c r="E19" s="238"/>
      <c r="F19" s="238"/>
      <c r="G19" s="238"/>
      <c r="H19" s="238">
        <v>34400</v>
      </c>
      <c r="I19" s="238"/>
      <c r="J19" s="239"/>
      <c r="K19" s="101"/>
    </row>
    <row r="20" spans="1:11" ht="12.75">
      <c r="A20" s="237">
        <v>415112</v>
      </c>
      <c r="B20" s="235"/>
      <c r="C20" s="237" t="s">
        <v>21</v>
      </c>
      <c r="D20" s="238">
        <v>1943711.77</v>
      </c>
      <c r="E20" s="238">
        <v>1788736.09</v>
      </c>
      <c r="F20" s="238"/>
      <c r="G20" s="238">
        <v>154975.68</v>
      </c>
      <c r="H20" s="238"/>
      <c r="I20" s="238"/>
      <c r="J20" s="239"/>
      <c r="K20" s="101"/>
    </row>
    <row r="21" spans="1:11" s="97" customFormat="1" ht="12.75">
      <c r="A21" s="240">
        <v>4131</v>
      </c>
      <c r="B21" s="243">
        <f>D21*100/107362902.49</f>
        <v>1.8424537006013277</v>
      </c>
      <c r="C21" s="240" t="s">
        <v>295</v>
      </c>
      <c r="D21" s="241">
        <f>SUM(D19:D20)</f>
        <v>1978111.77</v>
      </c>
      <c r="E21" s="241">
        <f aca="true" t="shared" si="1" ref="E21:K21">SUM(E19:E20)</f>
        <v>1788736.09</v>
      </c>
      <c r="F21" s="241">
        <f t="shared" si="1"/>
        <v>0</v>
      </c>
      <c r="G21" s="241">
        <f t="shared" si="1"/>
        <v>154975.68</v>
      </c>
      <c r="H21" s="241">
        <f t="shared" si="1"/>
        <v>34400</v>
      </c>
      <c r="I21" s="241">
        <f t="shared" si="1"/>
        <v>0</v>
      </c>
      <c r="J21" s="241">
        <v>4362300</v>
      </c>
      <c r="K21" s="138">
        <f t="shared" si="1"/>
        <v>0</v>
      </c>
    </row>
    <row r="22" spans="1:11" ht="12.75">
      <c r="A22" s="237">
        <v>414111</v>
      </c>
      <c r="B22" s="235"/>
      <c r="C22" s="237" t="s">
        <v>16</v>
      </c>
      <c r="D22" s="238">
        <v>1287876.63</v>
      </c>
      <c r="E22" s="238"/>
      <c r="F22" s="238"/>
      <c r="G22" s="238"/>
      <c r="H22" s="238"/>
      <c r="I22" s="238">
        <v>1287876.63</v>
      </c>
      <c r="J22" s="239"/>
      <c r="K22" s="101"/>
    </row>
    <row r="23" spans="1:11" ht="12.75">
      <c r="A23" s="237">
        <v>414121</v>
      </c>
      <c r="B23" s="235"/>
      <c r="C23" s="237" t="s">
        <v>17</v>
      </c>
      <c r="D23" s="238">
        <v>147394</v>
      </c>
      <c r="E23" s="238"/>
      <c r="F23" s="238"/>
      <c r="G23" s="238"/>
      <c r="H23" s="238"/>
      <c r="I23" s="238">
        <v>147394</v>
      </c>
      <c r="J23" s="239"/>
      <c r="K23" s="101"/>
    </row>
    <row r="24" spans="1:11" ht="12.75">
      <c r="A24" s="237">
        <v>414131</v>
      </c>
      <c r="B24" s="235"/>
      <c r="C24" s="237" t="s">
        <v>18</v>
      </c>
      <c r="D24" s="238">
        <v>62203.1</v>
      </c>
      <c r="E24" s="238"/>
      <c r="F24" s="238"/>
      <c r="G24" s="238">
        <v>62203.1</v>
      </c>
      <c r="H24" s="238"/>
      <c r="I24" s="238"/>
      <c r="J24" s="239"/>
      <c r="K24" s="101"/>
    </row>
    <row r="25" spans="1:11" s="97" customFormat="1" ht="12.75">
      <c r="A25" s="240">
        <v>4141</v>
      </c>
      <c r="B25" s="243">
        <f>D25*100/107362902.49</f>
        <v>1.3947776143062804</v>
      </c>
      <c r="C25" s="240" t="s">
        <v>98</v>
      </c>
      <c r="D25" s="241">
        <f>SUM(D22:D24)</f>
        <v>1497473.73</v>
      </c>
      <c r="E25" s="241"/>
      <c r="F25" s="241"/>
      <c r="G25" s="241">
        <f>SUM(G22:G24)</f>
        <v>62203.1</v>
      </c>
      <c r="H25" s="241"/>
      <c r="I25" s="241">
        <f>SUM(I22:I24)</f>
        <v>1435270.63</v>
      </c>
      <c r="J25" s="239"/>
      <c r="K25" s="101"/>
    </row>
    <row r="26" spans="1:11" s="97" customFormat="1" ht="12.75">
      <c r="A26" s="240"/>
      <c r="B26" s="243">
        <f>D26*100/107362902.49</f>
        <v>4.663187063582152</v>
      </c>
      <c r="C26" s="240" t="s">
        <v>179</v>
      </c>
      <c r="D26" s="241">
        <f aca="true" t="shared" si="2" ref="D26:I26">D29+D31+D34+D40+D50+D55+D57+D61+D64+D67+D69+D71+D73+D79+D94+D98+D100+D102+D106+D109+D115+D117+D121</f>
        <v>5006532.9799999995</v>
      </c>
      <c r="E26" s="241">
        <f t="shared" si="2"/>
        <v>2113817.94</v>
      </c>
      <c r="F26" s="241">
        <f t="shared" si="2"/>
        <v>1633750.0000000002</v>
      </c>
      <c r="G26" s="241">
        <f t="shared" si="2"/>
        <v>1088071.8199999998</v>
      </c>
      <c r="H26" s="241">
        <f t="shared" si="2"/>
        <v>166370.22000000003</v>
      </c>
      <c r="I26" s="241">
        <f t="shared" si="2"/>
        <v>4523</v>
      </c>
      <c r="J26" s="241">
        <v>15222000</v>
      </c>
      <c r="K26" s="138">
        <f>D26*100/J26</f>
        <v>32.8901128629615</v>
      </c>
    </row>
    <row r="27" spans="1:11" ht="12.75">
      <c r="A27" s="237">
        <v>414311</v>
      </c>
      <c r="B27" s="235"/>
      <c r="C27" s="237" t="s">
        <v>19</v>
      </c>
      <c r="D27" s="238">
        <v>329847</v>
      </c>
      <c r="E27" s="238">
        <v>163848</v>
      </c>
      <c r="F27" s="238"/>
      <c r="G27" s="238">
        <v>165999</v>
      </c>
      <c r="H27" s="238"/>
      <c r="I27" s="238"/>
      <c r="J27" s="239"/>
      <c r="K27" s="135"/>
    </row>
    <row r="28" spans="1:11" ht="12.75">
      <c r="A28" s="237">
        <v>414314</v>
      </c>
      <c r="B28" s="235"/>
      <c r="C28" s="237" t="s">
        <v>20</v>
      </c>
      <c r="D28" s="238">
        <v>136782</v>
      </c>
      <c r="E28" s="238"/>
      <c r="F28" s="238"/>
      <c r="G28" s="238">
        <v>136782</v>
      </c>
      <c r="H28" s="238"/>
      <c r="I28" s="238"/>
      <c r="J28" s="239"/>
      <c r="K28" s="135"/>
    </row>
    <row r="29" spans="1:11" ht="12.75">
      <c r="A29" s="240">
        <v>4143</v>
      </c>
      <c r="B29" s="235">
        <f>D29*100/5006532.98</f>
        <v>9.32040200002837</v>
      </c>
      <c r="C29" s="240" t="s">
        <v>99</v>
      </c>
      <c r="D29" s="241">
        <f>SUM(D27:D28)</f>
        <v>466629</v>
      </c>
      <c r="E29" s="241">
        <f>SUM(E27:E28)</f>
        <v>163848</v>
      </c>
      <c r="F29" s="241"/>
      <c r="G29" s="241">
        <f>SUM(G27:G28)</f>
        <v>302781</v>
      </c>
      <c r="H29" s="241"/>
      <c r="I29" s="241"/>
      <c r="J29" s="239">
        <v>0</v>
      </c>
      <c r="K29" s="135"/>
    </row>
    <row r="30" spans="1:11" ht="12.75">
      <c r="A30" s="237">
        <v>421111</v>
      </c>
      <c r="B30" s="235"/>
      <c r="C30" s="237" t="s">
        <v>22</v>
      </c>
      <c r="D30" s="238">
        <v>329191.55</v>
      </c>
      <c r="E30" s="238">
        <v>278481.54</v>
      </c>
      <c r="F30" s="238"/>
      <c r="G30" s="238">
        <v>41210.21</v>
      </c>
      <c r="H30" s="238">
        <v>4976.8</v>
      </c>
      <c r="I30" s="238">
        <v>4523</v>
      </c>
      <c r="J30" s="239"/>
      <c r="K30" s="135"/>
    </row>
    <row r="31" spans="1:11" ht="12.75">
      <c r="A31" s="240">
        <v>4211</v>
      </c>
      <c r="B31" s="235">
        <f>D31*100/5006532.98</f>
        <v>6.575239817954819</v>
      </c>
      <c r="C31" s="240" t="s">
        <v>101</v>
      </c>
      <c r="D31" s="241">
        <f>SUM(D30)</f>
        <v>329191.55</v>
      </c>
      <c r="E31" s="241">
        <f>SUM(E30)</f>
        <v>278481.54</v>
      </c>
      <c r="F31" s="241"/>
      <c r="G31" s="241">
        <f>SUM(G30)</f>
        <v>41210.21</v>
      </c>
      <c r="H31" s="241">
        <f>SUM(H30)</f>
        <v>4976.8</v>
      </c>
      <c r="I31" s="241">
        <f>SUM(I30)</f>
        <v>4523</v>
      </c>
      <c r="J31" s="242">
        <v>400000</v>
      </c>
      <c r="K31" s="135">
        <f>D31*100/J31</f>
        <v>82.2978875</v>
      </c>
    </row>
    <row r="32" spans="1:11" ht="12.75">
      <c r="A32" s="237">
        <v>421311</v>
      </c>
      <c r="B32" s="235"/>
      <c r="C32" s="237" t="s">
        <v>25</v>
      </c>
      <c r="D32" s="238">
        <v>402958.32</v>
      </c>
      <c r="E32" s="238">
        <v>115403.72</v>
      </c>
      <c r="F32" s="238">
        <v>287554.6</v>
      </c>
      <c r="G32" s="238"/>
      <c r="H32" s="238"/>
      <c r="I32" s="238"/>
      <c r="J32" s="239"/>
      <c r="K32" s="135"/>
    </row>
    <row r="33" spans="1:11" ht="12.75">
      <c r="A33" s="237">
        <v>421324</v>
      </c>
      <c r="B33" s="235"/>
      <c r="C33" s="237" t="s">
        <v>26</v>
      </c>
      <c r="D33" s="238">
        <v>223094.73</v>
      </c>
      <c r="E33" s="238">
        <v>173122.8</v>
      </c>
      <c r="F33" s="238"/>
      <c r="G33" s="238"/>
      <c r="H33" s="238">
        <v>49971.93</v>
      </c>
      <c r="I33" s="238"/>
      <c r="J33" s="239"/>
      <c r="K33" s="135"/>
    </row>
    <row r="34" spans="1:11" ht="12.75">
      <c r="A34" s="240">
        <v>4213</v>
      </c>
      <c r="B34" s="235">
        <f>D34*100/5006532.98</f>
        <v>12.5047223797575</v>
      </c>
      <c r="C34" s="240" t="s">
        <v>103</v>
      </c>
      <c r="D34" s="241">
        <f>SUM(D32:D33)</f>
        <v>626053.05</v>
      </c>
      <c r="E34" s="241">
        <f>SUM(E32:E33)</f>
        <v>288526.52</v>
      </c>
      <c r="F34" s="241">
        <f>SUM(F32:F33)</f>
        <v>287554.6</v>
      </c>
      <c r="G34" s="241">
        <f>SUM(G32:G33)</f>
        <v>0</v>
      </c>
      <c r="H34" s="241">
        <f>SUM(H32:H33)</f>
        <v>49971.93</v>
      </c>
      <c r="I34" s="241"/>
      <c r="J34" s="242">
        <f>750000+400000</f>
        <v>1150000</v>
      </c>
      <c r="K34" s="135">
        <f>D34*100/J34</f>
        <v>54.43939565217392</v>
      </c>
    </row>
    <row r="35" spans="1:11" ht="12.75">
      <c r="A35" s="237">
        <v>421411</v>
      </c>
      <c r="B35" s="235"/>
      <c r="C35" s="237" t="s">
        <v>27</v>
      </c>
      <c r="D35" s="238">
        <v>34715.6</v>
      </c>
      <c r="E35" s="238">
        <v>34715.6</v>
      </c>
      <c r="F35" s="238"/>
      <c r="G35" s="238"/>
      <c r="H35" s="238"/>
      <c r="I35" s="238"/>
      <c r="J35" s="239"/>
      <c r="K35" s="135"/>
    </row>
    <row r="36" spans="1:11" ht="12.75">
      <c r="A36" s="237">
        <v>421412</v>
      </c>
      <c r="B36" s="235"/>
      <c r="C36" s="237" t="s">
        <v>28</v>
      </c>
      <c r="D36" s="238">
        <v>11800</v>
      </c>
      <c r="E36" s="238"/>
      <c r="F36" s="238"/>
      <c r="G36" s="238">
        <v>11800</v>
      </c>
      <c r="H36" s="238"/>
      <c r="I36" s="238"/>
      <c r="J36" s="239"/>
      <c r="K36" s="135"/>
    </row>
    <row r="37" spans="1:11" ht="12.75">
      <c r="A37" s="237">
        <v>421414</v>
      </c>
      <c r="B37" s="235"/>
      <c r="C37" s="237" t="s">
        <v>29</v>
      </c>
      <c r="D37" s="238">
        <v>14139.92</v>
      </c>
      <c r="E37" s="238"/>
      <c r="F37" s="238"/>
      <c r="G37" s="238">
        <v>14139.92</v>
      </c>
      <c r="H37" s="238"/>
      <c r="I37" s="238"/>
      <c r="J37" s="239"/>
      <c r="K37" s="135"/>
    </row>
    <row r="38" spans="1:11" ht="12.75">
      <c r="A38" s="237">
        <v>421421</v>
      </c>
      <c r="B38" s="235"/>
      <c r="C38" s="237" t="s">
        <v>224</v>
      </c>
      <c r="D38" s="238">
        <v>8000</v>
      </c>
      <c r="E38" s="238">
        <v>8000</v>
      </c>
      <c r="F38" s="238"/>
      <c r="G38" s="238"/>
      <c r="H38" s="238"/>
      <c r="I38" s="238"/>
      <c r="J38" s="239"/>
      <c r="K38" s="135"/>
    </row>
    <row r="39" spans="1:11" ht="12.75">
      <c r="A39" s="237">
        <v>421422</v>
      </c>
      <c r="B39" s="235"/>
      <c r="C39" s="237" t="s">
        <v>31</v>
      </c>
      <c r="D39" s="238">
        <v>44345</v>
      </c>
      <c r="E39" s="238">
        <v>44345</v>
      </c>
      <c r="F39" s="238"/>
      <c r="G39" s="238"/>
      <c r="H39" s="238"/>
      <c r="I39" s="238"/>
      <c r="J39" s="239"/>
      <c r="K39" s="135"/>
    </row>
    <row r="40" spans="1:11" ht="12.75">
      <c r="A40" s="240">
        <v>4214</v>
      </c>
      <c r="B40" s="235">
        <f>D40*100/5006532.98</f>
        <v>2.2570613326909506</v>
      </c>
      <c r="C40" s="240" t="s">
        <v>104</v>
      </c>
      <c r="D40" s="241">
        <f>SUM(D35:D39)</f>
        <v>113000.51999999999</v>
      </c>
      <c r="E40" s="241">
        <f>SUM(E35:E39)</f>
        <v>87060.6</v>
      </c>
      <c r="F40" s="241"/>
      <c r="G40" s="241">
        <f>SUM(G35:G39)</f>
        <v>25939.92</v>
      </c>
      <c r="H40" s="241"/>
      <c r="I40" s="241"/>
      <c r="J40" s="242">
        <v>600000</v>
      </c>
      <c r="K40" s="135">
        <f>D40*100/J40</f>
        <v>18.833419999999997</v>
      </c>
    </row>
    <row r="41" spans="1:11" ht="12.75">
      <c r="A41" s="244"/>
      <c r="B41" s="244"/>
      <c r="C41" s="244"/>
      <c r="D41" s="245"/>
      <c r="E41" s="245"/>
      <c r="F41" s="245"/>
      <c r="G41" s="245"/>
      <c r="H41" s="245"/>
      <c r="I41" s="245"/>
      <c r="J41" s="246"/>
      <c r="K41" s="122"/>
    </row>
    <row r="42" spans="1:11" ht="12.75">
      <c r="A42" s="244"/>
      <c r="B42" s="244"/>
      <c r="C42" s="244"/>
      <c r="D42" s="245"/>
      <c r="E42" s="245"/>
      <c r="F42" s="245"/>
      <c r="G42" s="245"/>
      <c r="H42" s="245"/>
      <c r="I42" s="245"/>
      <c r="J42" s="246"/>
      <c r="K42" s="122"/>
    </row>
    <row r="43" spans="1:11" ht="12.75">
      <c r="A43" s="244"/>
      <c r="B43" s="244"/>
      <c r="C43" s="244"/>
      <c r="D43" s="245"/>
      <c r="E43" s="245"/>
      <c r="F43" s="245"/>
      <c r="G43" s="245"/>
      <c r="H43" s="245"/>
      <c r="I43" s="245"/>
      <c r="J43" s="246"/>
      <c r="K43" s="122"/>
    </row>
    <row r="44" spans="1:11" ht="12.75">
      <c r="A44" s="231" t="s">
        <v>225</v>
      </c>
      <c r="B44" s="231"/>
      <c r="C44" s="231"/>
      <c r="D44" s="231"/>
      <c r="E44" s="231"/>
      <c r="F44" s="228"/>
      <c r="G44" s="247"/>
      <c r="H44" s="245"/>
      <c r="I44" s="245"/>
      <c r="J44" s="231" t="s">
        <v>223</v>
      </c>
      <c r="K44" s="122" t="s">
        <v>172</v>
      </c>
    </row>
    <row r="45" spans="1:11" ht="27.75">
      <c r="A45" s="248" t="s">
        <v>0</v>
      </c>
      <c r="B45" s="248" t="s">
        <v>208</v>
      </c>
      <c r="C45" s="248" t="s">
        <v>1</v>
      </c>
      <c r="D45" s="248" t="s">
        <v>2</v>
      </c>
      <c r="E45" s="248" t="s">
        <v>3</v>
      </c>
      <c r="F45" s="249" t="s">
        <v>4</v>
      </c>
      <c r="G45" s="248" t="s">
        <v>5</v>
      </c>
      <c r="H45" s="248" t="s">
        <v>6</v>
      </c>
      <c r="I45" s="248" t="s">
        <v>7</v>
      </c>
      <c r="J45" s="250" t="s">
        <v>175</v>
      </c>
      <c r="K45" s="226" t="s">
        <v>170</v>
      </c>
    </row>
    <row r="46" spans="1:11" ht="12.75">
      <c r="A46" s="234">
        <v>421512</v>
      </c>
      <c r="B46" s="234"/>
      <c r="C46" s="234" t="s">
        <v>32</v>
      </c>
      <c r="D46" s="236">
        <v>118529.28</v>
      </c>
      <c r="E46" s="236">
        <v>117929.28</v>
      </c>
      <c r="F46" s="236"/>
      <c r="G46" s="236">
        <v>600</v>
      </c>
      <c r="H46" s="236"/>
      <c r="I46" s="236"/>
      <c r="J46" s="235">
        <v>130000</v>
      </c>
      <c r="K46" s="182"/>
    </row>
    <row r="47" spans="1:11" ht="12.75">
      <c r="A47" s="237">
        <v>421513</v>
      </c>
      <c r="B47" s="237"/>
      <c r="C47" s="237" t="s">
        <v>33</v>
      </c>
      <c r="D47" s="238">
        <v>175635.68</v>
      </c>
      <c r="E47" s="238">
        <v>175635.68</v>
      </c>
      <c r="F47" s="238"/>
      <c r="G47" s="238"/>
      <c r="H47" s="238"/>
      <c r="I47" s="238"/>
      <c r="J47" s="239"/>
      <c r="K47" s="135"/>
    </row>
    <row r="48" spans="1:11" ht="12.75">
      <c r="A48" s="237">
        <v>421519</v>
      </c>
      <c r="B48" s="237"/>
      <c r="C48" s="237" t="s">
        <v>34</v>
      </c>
      <c r="D48" s="238">
        <v>458165.39</v>
      </c>
      <c r="E48" s="238">
        <v>458165.39</v>
      </c>
      <c r="F48" s="238"/>
      <c r="G48" s="238"/>
      <c r="H48" s="238"/>
      <c r="I48" s="238"/>
      <c r="J48" s="239">
        <v>1860000</v>
      </c>
      <c r="K48" s="135"/>
    </row>
    <row r="49" spans="1:11" ht="12.75">
      <c r="A49" s="237">
        <v>421521</v>
      </c>
      <c r="B49" s="237"/>
      <c r="C49" s="237" t="s">
        <v>35</v>
      </c>
      <c r="D49" s="238">
        <v>36468</v>
      </c>
      <c r="E49" s="238">
        <v>36468</v>
      </c>
      <c r="F49" s="238"/>
      <c r="G49" s="238"/>
      <c r="H49" s="238"/>
      <c r="I49" s="238"/>
      <c r="J49" s="239">
        <v>220000</v>
      </c>
      <c r="K49" s="135"/>
    </row>
    <row r="50" spans="1:11" ht="12.75">
      <c r="A50" s="240">
        <v>4215</v>
      </c>
      <c r="B50" s="251">
        <f>D50*100/5006532.98</f>
        <v>15.755381082099651</v>
      </c>
      <c r="C50" s="240" t="s">
        <v>169</v>
      </c>
      <c r="D50" s="241">
        <f>SUM(D46:D49)</f>
        <v>788798.35</v>
      </c>
      <c r="E50" s="241">
        <f>SUM(E46:E49)</f>
        <v>788198.35</v>
      </c>
      <c r="F50" s="241"/>
      <c r="G50" s="241">
        <f>SUM(G46:G49)</f>
        <v>600</v>
      </c>
      <c r="H50" s="241"/>
      <c r="I50" s="241"/>
      <c r="J50" s="242">
        <f>SUM(J46:J49)</f>
        <v>2210000</v>
      </c>
      <c r="K50" s="135">
        <f>D50*100/J50</f>
        <v>35.692233031674206</v>
      </c>
    </row>
    <row r="51" spans="1:11" ht="12.75">
      <c r="A51" s="237">
        <v>422111</v>
      </c>
      <c r="B51" s="251"/>
      <c r="C51" s="237" t="s">
        <v>36</v>
      </c>
      <c r="D51" s="238">
        <v>42400</v>
      </c>
      <c r="E51" s="238"/>
      <c r="F51" s="238"/>
      <c r="G51" s="238">
        <v>42400</v>
      </c>
      <c r="H51" s="238"/>
      <c r="I51" s="238"/>
      <c r="J51" s="239"/>
      <c r="K51" s="135"/>
    </row>
    <row r="52" spans="1:11" ht="12.75">
      <c r="A52" s="237">
        <v>422121</v>
      </c>
      <c r="B52" s="251"/>
      <c r="C52" s="237" t="s">
        <v>37</v>
      </c>
      <c r="D52" s="238">
        <v>29806.81</v>
      </c>
      <c r="E52" s="238"/>
      <c r="F52" s="238"/>
      <c r="G52" s="238">
        <v>29806.81</v>
      </c>
      <c r="H52" s="238"/>
      <c r="I52" s="238"/>
      <c r="J52" s="239"/>
      <c r="K52" s="135"/>
    </row>
    <row r="53" spans="1:11" ht="12.75">
      <c r="A53" s="237">
        <v>422194</v>
      </c>
      <c r="B53" s="251"/>
      <c r="C53" s="237" t="s">
        <v>38</v>
      </c>
      <c r="D53" s="238">
        <v>0</v>
      </c>
      <c r="E53" s="238"/>
      <c r="F53" s="238"/>
      <c r="G53" s="238"/>
      <c r="H53" s="238"/>
      <c r="I53" s="238"/>
      <c r="J53" s="239"/>
      <c r="K53" s="135"/>
    </row>
    <row r="54" spans="1:11" ht="12.75">
      <c r="A54" s="237">
        <v>422199</v>
      </c>
      <c r="B54" s="251"/>
      <c r="C54" s="237" t="s">
        <v>39</v>
      </c>
      <c r="D54" s="238">
        <v>15600</v>
      </c>
      <c r="E54" s="238"/>
      <c r="F54" s="238"/>
      <c r="G54" s="238">
        <v>15600</v>
      </c>
      <c r="H54" s="238"/>
      <c r="I54" s="238"/>
      <c r="J54" s="239"/>
      <c r="K54" s="135"/>
    </row>
    <row r="55" spans="1:11" ht="12.75">
      <c r="A55" s="240">
        <v>4221</v>
      </c>
      <c r="B55" s="251">
        <f>D55*100/5006532.98</f>
        <v>1.7538446336170943</v>
      </c>
      <c r="C55" s="240" t="s">
        <v>105</v>
      </c>
      <c r="D55" s="241">
        <f>SUM(D51:D54)</f>
        <v>87806.81</v>
      </c>
      <c r="E55" s="241"/>
      <c r="F55" s="241"/>
      <c r="G55" s="241">
        <f>SUM(G51:G54)</f>
        <v>87806.81</v>
      </c>
      <c r="H55" s="241"/>
      <c r="I55" s="241"/>
      <c r="J55" s="239"/>
      <c r="K55" s="135"/>
    </row>
    <row r="56" spans="1:11" ht="12.75">
      <c r="A56" s="237">
        <v>423291</v>
      </c>
      <c r="B56" s="251"/>
      <c r="C56" s="237" t="s">
        <v>40</v>
      </c>
      <c r="D56" s="238">
        <v>68748</v>
      </c>
      <c r="E56" s="238">
        <v>45148</v>
      </c>
      <c r="F56" s="238"/>
      <c r="G56" s="238">
        <v>23600</v>
      </c>
      <c r="H56" s="238"/>
      <c r="I56" s="238"/>
      <c r="J56" s="239"/>
      <c r="K56" s="135"/>
    </row>
    <row r="57" spans="1:11" ht="12.75">
      <c r="A57" s="240">
        <v>4232</v>
      </c>
      <c r="B57" s="251">
        <f>D57*100/5006532.98</f>
        <v>1.3731658270230749</v>
      </c>
      <c r="C57" s="240" t="s">
        <v>106</v>
      </c>
      <c r="D57" s="241">
        <f>SUM(D56)</f>
        <v>68748</v>
      </c>
      <c r="E57" s="241">
        <f>SUM(E56)</f>
        <v>45148</v>
      </c>
      <c r="F57" s="241"/>
      <c r="G57" s="241">
        <f>SUM(G56)</f>
        <v>23600</v>
      </c>
      <c r="H57" s="241"/>
      <c r="I57" s="241"/>
      <c r="J57" s="242">
        <v>100000</v>
      </c>
      <c r="K57" s="135">
        <f>D57*100/J57</f>
        <v>68.748</v>
      </c>
    </row>
    <row r="58" spans="1:11" ht="12.75">
      <c r="A58" s="237">
        <v>423311</v>
      </c>
      <c r="B58" s="251"/>
      <c r="C58" s="237" t="s">
        <v>42</v>
      </c>
      <c r="D58" s="238">
        <v>90000</v>
      </c>
      <c r="E58" s="238"/>
      <c r="F58" s="238"/>
      <c r="G58" s="238">
        <v>90000</v>
      </c>
      <c r="H58" s="238"/>
      <c r="I58" s="238"/>
      <c r="J58" s="239"/>
      <c r="K58" s="135"/>
    </row>
    <row r="59" spans="1:11" ht="12.75">
      <c r="A59" s="237">
        <v>423321</v>
      </c>
      <c r="B59" s="251"/>
      <c r="C59" s="237" t="s">
        <v>41</v>
      </c>
      <c r="D59" s="238">
        <v>2720</v>
      </c>
      <c r="E59" s="238"/>
      <c r="F59" s="238"/>
      <c r="G59" s="238">
        <v>2720</v>
      </c>
      <c r="H59" s="238"/>
      <c r="I59" s="238"/>
      <c r="J59" s="239"/>
      <c r="K59" s="135"/>
    </row>
    <row r="60" spans="1:11" ht="12.75">
      <c r="A60" s="237">
        <v>4233910</v>
      </c>
      <c r="B60" s="251"/>
      <c r="C60" s="237" t="s">
        <v>130</v>
      </c>
      <c r="D60" s="238">
        <v>62307.99</v>
      </c>
      <c r="E60" s="238"/>
      <c r="F60" s="238"/>
      <c r="G60" s="238">
        <v>62307.99</v>
      </c>
      <c r="H60" s="238"/>
      <c r="I60" s="238"/>
      <c r="J60" s="239"/>
      <c r="K60" s="135"/>
    </row>
    <row r="61" spans="1:11" ht="12.75">
      <c r="A61" s="240">
        <v>4233</v>
      </c>
      <c r="B61" s="251">
        <f>D61*100/5006532.98</f>
        <v>3.096513907314758</v>
      </c>
      <c r="C61" s="240" t="s">
        <v>107</v>
      </c>
      <c r="D61" s="241">
        <f>SUM(D58:D60)</f>
        <v>155027.99</v>
      </c>
      <c r="E61" s="241"/>
      <c r="F61" s="241"/>
      <c r="G61" s="241">
        <f>SUM(G58:G60)</f>
        <v>155027.99</v>
      </c>
      <c r="H61" s="241"/>
      <c r="I61" s="241"/>
      <c r="J61" s="239"/>
      <c r="K61" s="135"/>
    </row>
    <row r="62" spans="1:11" ht="12.75">
      <c r="A62" s="237">
        <v>423421</v>
      </c>
      <c r="B62" s="251"/>
      <c r="C62" s="237" t="s">
        <v>43</v>
      </c>
      <c r="D62" s="238">
        <v>6499.99</v>
      </c>
      <c r="E62" s="238"/>
      <c r="F62" s="238"/>
      <c r="G62" s="238">
        <v>6499.99</v>
      </c>
      <c r="H62" s="238"/>
      <c r="I62" s="238"/>
      <c r="J62" s="239"/>
      <c r="K62" s="135"/>
    </row>
    <row r="63" spans="1:11" ht="12.75">
      <c r="A63" s="252">
        <v>423432</v>
      </c>
      <c r="B63" s="251"/>
      <c r="C63" s="252" t="s">
        <v>44</v>
      </c>
      <c r="D63" s="253">
        <v>53980.44</v>
      </c>
      <c r="E63" s="253"/>
      <c r="F63" s="253"/>
      <c r="G63" s="253">
        <v>53980.44</v>
      </c>
      <c r="H63" s="253"/>
      <c r="I63" s="253"/>
      <c r="J63" s="239"/>
      <c r="K63" s="135"/>
    </row>
    <row r="64" spans="1:11" ht="12.75">
      <c r="A64" s="240">
        <v>4234</v>
      </c>
      <c r="B64" s="251">
        <f>D64*100/5006532.98</f>
        <v>1.2080301925824923</v>
      </c>
      <c r="C64" s="240" t="s">
        <v>108</v>
      </c>
      <c r="D64" s="241">
        <f>SUM(D62:D63)</f>
        <v>60480.43</v>
      </c>
      <c r="E64" s="241"/>
      <c r="F64" s="241"/>
      <c r="G64" s="241">
        <f>SUM(G62:G63)</f>
        <v>60480.43</v>
      </c>
      <c r="H64" s="241"/>
      <c r="I64" s="241"/>
      <c r="J64" s="239"/>
      <c r="K64" s="135"/>
    </row>
    <row r="65" spans="1:11" ht="12.75">
      <c r="A65" s="237">
        <v>423539</v>
      </c>
      <c r="B65" s="251"/>
      <c r="C65" s="237" t="s">
        <v>131</v>
      </c>
      <c r="D65" s="238">
        <v>88000</v>
      </c>
      <c r="E65" s="238"/>
      <c r="F65" s="238"/>
      <c r="G65" s="238"/>
      <c r="H65" s="238">
        <v>88000</v>
      </c>
      <c r="I65" s="238"/>
      <c r="J65" s="239"/>
      <c r="K65" s="135"/>
    </row>
    <row r="66" spans="1:11" ht="12.75">
      <c r="A66" s="237">
        <v>423599</v>
      </c>
      <c r="B66" s="251"/>
      <c r="C66" s="237" t="s">
        <v>45</v>
      </c>
      <c r="D66" s="238">
        <v>101790.15</v>
      </c>
      <c r="E66" s="238"/>
      <c r="F66" s="238"/>
      <c r="G66" s="238">
        <v>101790.15</v>
      </c>
      <c r="H66" s="238"/>
      <c r="I66" s="238"/>
      <c r="J66" s="239"/>
      <c r="K66" s="135"/>
    </row>
    <row r="67" spans="1:11" ht="12.75">
      <c r="A67" s="240">
        <v>4235</v>
      </c>
      <c r="B67" s="251">
        <f>D67*100/5006532.98</f>
        <v>3.7908498906962156</v>
      </c>
      <c r="C67" s="240" t="s">
        <v>109</v>
      </c>
      <c r="D67" s="241">
        <f>SUM(D65:D66)</f>
        <v>189790.15</v>
      </c>
      <c r="E67" s="241"/>
      <c r="F67" s="241"/>
      <c r="G67" s="241">
        <f>SUM(G65:G66)</f>
        <v>101790.15</v>
      </c>
      <c r="H67" s="241">
        <f>SUM(H65:H66)</f>
        <v>88000</v>
      </c>
      <c r="I67" s="241"/>
      <c r="J67" s="239">
        <v>50000</v>
      </c>
      <c r="K67" s="135">
        <f>D67*100/J67</f>
        <v>379.5803</v>
      </c>
    </row>
    <row r="68" spans="1:11" ht="12.75">
      <c r="A68" s="237">
        <v>423611</v>
      </c>
      <c r="B68" s="251"/>
      <c r="C68" s="237" t="s">
        <v>46</v>
      </c>
      <c r="D68" s="238">
        <v>612933.3</v>
      </c>
      <c r="E68" s="238"/>
      <c r="F68" s="238">
        <v>612933.3</v>
      </c>
      <c r="G68" s="238"/>
      <c r="H68" s="238"/>
      <c r="I68" s="238"/>
      <c r="J68" s="239"/>
      <c r="K68" s="135"/>
    </row>
    <row r="69" spans="1:11" ht="12.75">
      <c r="A69" s="240">
        <v>4236</v>
      </c>
      <c r="B69" s="251">
        <f>D69*100/5006532.98</f>
        <v>12.24266977664052</v>
      </c>
      <c r="C69" s="240" t="s">
        <v>110</v>
      </c>
      <c r="D69" s="241">
        <f>SUM(D68)</f>
        <v>612933.3</v>
      </c>
      <c r="E69" s="241">
        <f>SUM(E68)</f>
        <v>0</v>
      </c>
      <c r="F69" s="241">
        <f>SUM(F68)</f>
        <v>612933.3</v>
      </c>
      <c r="G69" s="241"/>
      <c r="H69" s="241"/>
      <c r="I69" s="241"/>
      <c r="J69" s="242">
        <v>2800000</v>
      </c>
      <c r="K69" s="135">
        <f>D69*100/J69</f>
        <v>21.890475000000002</v>
      </c>
    </row>
    <row r="70" spans="1:11" ht="12.75">
      <c r="A70" s="237">
        <v>423711</v>
      </c>
      <c r="B70" s="251"/>
      <c r="C70" s="237" t="s">
        <v>47</v>
      </c>
      <c r="D70" s="238">
        <v>6768.34</v>
      </c>
      <c r="E70" s="238"/>
      <c r="F70" s="238"/>
      <c r="G70" s="238">
        <v>6768.34</v>
      </c>
      <c r="H70" s="238"/>
      <c r="I70" s="238"/>
      <c r="J70" s="239"/>
      <c r="K70" s="135"/>
    </row>
    <row r="71" spans="1:11" ht="12.75">
      <c r="A71" s="240">
        <v>4237</v>
      </c>
      <c r="B71" s="251">
        <f>D71*100/5006532.98</f>
        <v>0.13519016107629833</v>
      </c>
      <c r="C71" s="240" t="s">
        <v>47</v>
      </c>
      <c r="D71" s="241">
        <f>SUM(D70)</f>
        <v>6768.34</v>
      </c>
      <c r="E71" s="241"/>
      <c r="F71" s="241"/>
      <c r="G71" s="241">
        <f>SUM(G70)</f>
        <v>6768.34</v>
      </c>
      <c r="H71" s="241"/>
      <c r="I71" s="241"/>
      <c r="J71" s="239"/>
      <c r="K71" s="135"/>
    </row>
    <row r="72" spans="1:11" ht="12.75">
      <c r="A72" s="237">
        <v>423911</v>
      </c>
      <c r="B72" s="251"/>
      <c r="C72" s="237" t="s">
        <v>48</v>
      </c>
      <c r="D72" s="238">
        <v>26048</v>
      </c>
      <c r="E72" s="238">
        <v>26048</v>
      </c>
      <c r="F72" s="238"/>
      <c r="G72" s="238"/>
      <c r="H72" s="238"/>
      <c r="I72" s="238"/>
      <c r="J72" s="239"/>
      <c r="K72" s="135"/>
    </row>
    <row r="73" spans="1:11" ht="12.75">
      <c r="A73" s="240">
        <v>4239</v>
      </c>
      <c r="B73" s="251">
        <f>D73*100/5006532.98</f>
        <v>0.520280203966618</v>
      </c>
      <c r="C73" s="240" t="s">
        <v>48</v>
      </c>
      <c r="D73" s="241">
        <f>SUM(D72)</f>
        <v>26048</v>
      </c>
      <c r="E73" s="241">
        <f>SUM(E72)</f>
        <v>26048</v>
      </c>
      <c r="F73" s="241"/>
      <c r="G73" s="241"/>
      <c r="H73" s="241"/>
      <c r="I73" s="241"/>
      <c r="J73" s="242">
        <v>150000</v>
      </c>
      <c r="K73" s="135">
        <f>D73*100/J73</f>
        <v>17.365333333333332</v>
      </c>
    </row>
    <row r="74" spans="1:11" ht="12.75">
      <c r="A74" s="237">
        <v>424351</v>
      </c>
      <c r="B74" s="251"/>
      <c r="C74" s="237" t="s">
        <v>49</v>
      </c>
      <c r="D74" s="238">
        <v>0</v>
      </c>
      <c r="E74" s="238"/>
      <c r="F74" s="238"/>
      <c r="G74" s="238"/>
      <c r="H74" s="238"/>
      <c r="I74" s="238"/>
      <c r="J74" s="239"/>
      <c r="K74" s="135"/>
    </row>
    <row r="75" spans="1:11" ht="12.75">
      <c r="A75" s="240">
        <v>4243</v>
      </c>
      <c r="B75" s="251">
        <f>D75*100/5006532.98</f>
        <v>0</v>
      </c>
      <c r="C75" s="240" t="s">
        <v>111</v>
      </c>
      <c r="D75" s="241">
        <f>SUM(D74)</f>
        <v>0</v>
      </c>
      <c r="E75" s="241"/>
      <c r="F75" s="241"/>
      <c r="G75" s="241"/>
      <c r="H75" s="241"/>
      <c r="I75" s="241"/>
      <c r="J75" s="242">
        <v>120000</v>
      </c>
      <c r="K75" s="135">
        <f>D75*100/J75</f>
        <v>0</v>
      </c>
    </row>
    <row r="76" spans="1:11" ht="12.75">
      <c r="A76" s="237">
        <v>425112</v>
      </c>
      <c r="B76" s="251"/>
      <c r="C76" s="237" t="s">
        <v>50</v>
      </c>
      <c r="D76" s="238">
        <v>10358.04</v>
      </c>
      <c r="E76" s="238">
        <v>10358.04</v>
      </c>
      <c r="F76" s="238"/>
      <c r="G76" s="238"/>
      <c r="H76" s="238"/>
      <c r="I76" s="238"/>
      <c r="J76" s="239"/>
      <c r="K76" s="135"/>
    </row>
    <row r="77" spans="1:11" ht="12.75">
      <c r="A77" s="237">
        <v>425115</v>
      </c>
      <c r="B77" s="251"/>
      <c r="C77" s="237" t="s">
        <v>51</v>
      </c>
      <c r="D77" s="238">
        <v>11145.1</v>
      </c>
      <c r="E77" s="238">
        <v>11145.1</v>
      </c>
      <c r="F77" s="238"/>
      <c r="G77" s="238"/>
      <c r="H77" s="238"/>
      <c r="I77" s="238"/>
      <c r="J77" s="239"/>
      <c r="K77" s="135"/>
    </row>
    <row r="78" spans="1:11" ht="12.75">
      <c r="A78" s="237">
        <v>425117</v>
      </c>
      <c r="B78" s="251"/>
      <c r="C78" s="237" t="s">
        <v>52</v>
      </c>
      <c r="D78" s="238">
        <v>35272.32</v>
      </c>
      <c r="E78" s="238">
        <v>15361</v>
      </c>
      <c r="F78" s="238"/>
      <c r="G78" s="238"/>
      <c r="H78" s="238">
        <v>19911.32</v>
      </c>
      <c r="I78" s="238"/>
      <c r="J78" s="239"/>
      <c r="K78" s="135"/>
    </row>
    <row r="79" spans="1:11" ht="12.75">
      <c r="A79" s="240">
        <v>4251</v>
      </c>
      <c r="B79" s="251">
        <f>D79*100/5006532.98</f>
        <v>1.1340274842252211</v>
      </c>
      <c r="C79" s="240" t="s">
        <v>112</v>
      </c>
      <c r="D79" s="241">
        <f>SUM(D76:D78)</f>
        <v>56775.46</v>
      </c>
      <c r="E79" s="241">
        <f>SUM(E74:E78)</f>
        <v>36864.14</v>
      </c>
      <c r="F79" s="241"/>
      <c r="G79" s="241">
        <f>SUM(G74:G78)</f>
        <v>0</v>
      </c>
      <c r="H79" s="241">
        <f>SUM(H78)</f>
        <v>19911.32</v>
      </c>
      <c r="I79" s="241"/>
      <c r="J79" s="242">
        <v>162000</v>
      </c>
      <c r="K79" s="135">
        <f>D79*100/J79</f>
        <v>35.04658024691358</v>
      </c>
    </row>
    <row r="80" spans="1:11" ht="12.75">
      <c r="A80" s="237">
        <v>425211</v>
      </c>
      <c r="B80" s="251"/>
      <c r="C80" s="237" t="s">
        <v>53</v>
      </c>
      <c r="D80" s="238">
        <v>18172</v>
      </c>
      <c r="E80" s="238">
        <v>18172</v>
      </c>
      <c r="F80" s="238"/>
      <c r="G80" s="238"/>
      <c r="H80" s="238"/>
      <c r="I80" s="238"/>
      <c r="J80" s="239">
        <v>750000</v>
      </c>
      <c r="K80" s="135">
        <f>D80*100/J80</f>
        <v>2.4229333333333334</v>
      </c>
    </row>
    <row r="81" spans="1:11" ht="12.75">
      <c r="A81" s="237">
        <v>425212</v>
      </c>
      <c r="B81" s="251"/>
      <c r="C81" s="237" t="s">
        <v>54</v>
      </c>
      <c r="D81" s="238">
        <v>0</v>
      </c>
      <c r="E81" s="238"/>
      <c r="F81" s="238"/>
      <c r="G81" s="238"/>
      <c r="H81" s="238"/>
      <c r="I81" s="238"/>
      <c r="J81" s="239">
        <v>600000</v>
      </c>
      <c r="K81" s="135">
        <f>D81*100/J81</f>
        <v>0</v>
      </c>
    </row>
    <row r="82" spans="1:11" ht="12.75">
      <c r="A82" s="237">
        <v>425213</v>
      </c>
      <c r="B82" s="251"/>
      <c r="C82" s="237" t="s">
        <v>55</v>
      </c>
      <c r="D82" s="238">
        <v>0</v>
      </c>
      <c r="E82" s="238"/>
      <c r="F82" s="238"/>
      <c r="G82" s="238"/>
      <c r="H82" s="238"/>
      <c r="I82" s="238"/>
      <c r="J82" s="239"/>
      <c r="K82" s="135"/>
    </row>
    <row r="83" spans="1:11" ht="12.75">
      <c r="A83" s="237">
        <v>425222</v>
      </c>
      <c r="B83" s="251"/>
      <c r="C83" s="237" t="s">
        <v>56</v>
      </c>
      <c r="D83" s="238">
        <v>44185</v>
      </c>
      <c r="E83" s="238">
        <v>44185</v>
      </c>
      <c r="F83" s="238"/>
      <c r="G83" s="238"/>
      <c r="H83" s="238"/>
      <c r="I83" s="238"/>
      <c r="J83" s="239"/>
      <c r="K83" s="135"/>
    </row>
    <row r="84" spans="1:11" ht="12.75">
      <c r="A84" s="237">
        <v>425223</v>
      </c>
      <c r="B84" s="251"/>
      <c r="C84" s="237" t="s">
        <v>57</v>
      </c>
      <c r="D84" s="238">
        <v>38550</v>
      </c>
      <c r="E84" s="238">
        <v>38550</v>
      </c>
      <c r="F84" s="238"/>
      <c r="G84" s="238"/>
      <c r="H84" s="238"/>
      <c r="I84" s="238"/>
      <c r="J84" s="239"/>
      <c r="K84" s="135"/>
    </row>
    <row r="85" spans="1:11" ht="12.75">
      <c r="A85" s="237">
        <v>425225</v>
      </c>
      <c r="B85" s="251"/>
      <c r="C85" s="237" t="s">
        <v>58</v>
      </c>
      <c r="D85" s="238">
        <v>0</v>
      </c>
      <c r="E85" s="238"/>
      <c r="F85" s="238"/>
      <c r="G85" s="238"/>
      <c r="H85" s="238"/>
      <c r="I85" s="238"/>
      <c r="J85" s="239"/>
      <c r="K85" s="135"/>
    </row>
    <row r="86" spans="1:11" ht="12.75">
      <c r="A86" s="237">
        <v>425251</v>
      </c>
      <c r="B86" s="251"/>
      <c r="C86" s="237" t="s">
        <v>59</v>
      </c>
      <c r="D86" s="238">
        <v>106038</v>
      </c>
      <c r="E86" s="238"/>
      <c r="F86" s="238"/>
      <c r="G86" s="238">
        <v>106038</v>
      </c>
      <c r="H86" s="238"/>
      <c r="I86" s="238"/>
      <c r="J86" s="239">
        <v>850000</v>
      </c>
      <c r="K86" s="135">
        <f>D86*100/J86</f>
        <v>12.475058823529412</v>
      </c>
    </row>
    <row r="87" spans="1:11" ht="12.75">
      <c r="A87" s="237">
        <v>425252</v>
      </c>
      <c r="B87" s="251"/>
      <c r="C87" s="237" t="s">
        <v>60</v>
      </c>
      <c r="D87" s="238">
        <v>0</v>
      </c>
      <c r="E87" s="238"/>
      <c r="F87" s="238"/>
      <c r="G87" s="238"/>
      <c r="H87" s="238"/>
      <c r="I87" s="238"/>
      <c r="J87" s="239"/>
      <c r="K87" s="135"/>
    </row>
    <row r="88" spans="1:11" ht="12.75">
      <c r="A88" s="247"/>
      <c r="B88" s="254"/>
      <c r="C88" s="247"/>
      <c r="D88" s="255"/>
      <c r="E88" s="255"/>
      <c r="F88" s="255"/>
      <c r="G88" s="255"/>
      <c r="H88" s="255"/>
      <c r="I88" s="255"/>
      <c r="J88" s="246"/>
      <c r="K88" s="136"/>
    </row>
    <row r="89" spans="1:11" ht="12.75">
      <c r="A89" s="247"/>
      <c r="B89" s="254"/>
      <c r="C89" s="247"/>
      <c r="D89" s="255"/>
      <c r="E89" s="255"/>
      <c r="F89" s="255"/>
      <c r="G89" s="255"/>
      <c r="H89" s="255"/>
      <c r="I89" s="255"/>
      <c r="J89" s="246"/>
      <c r="K89" s="136"/>
    </row>
    <row r="90" spans="1:11" ht="12.75">
      <c r="A90" s="231" t="s">
        <v>225</v>
      </c>
      <c r="B90" s="231"/>
      <c r="C90" s="231"/>
      <c r="D90" s="231"/>
      <c r="E90" s="231"/>
      <c r="F90" s="228"/>
      <c r="G90" s="245"/>
      <c r="H90" s="245"/>
      <c r="I90" s="245"/>
      <c r="J90" s="231" t="s">
        <v>223</v>
      </c>
      <c r="K90" s="122" t="s">
        <v>173</v>
      </c>
    </row>
    <row r="91" spans="1:11" ht="27.75">
      <c r="A91" s="248" t="s">
        <v>0</v>
      </c>
      <c r="B91" s="248" t="s">
        <v>208</v>
      </c>
      <c r="C91" s="248" t="s">
        <v>1</v>
      </c>
      <c r="D91" s="248" t="s">
        <v>2</v>
      </c>
      <c r="E91" s="248" t="s">
        <v>3</v>
      </c>
      <c r="F91" s="249" t="s">
        <v>4</v>
      </c>
      <c r="G91" s="248" t="s">
        <v>5</v>
      </c>
      <c r="H91" s="248" t="s">
        <v>6</v>
      </c>
      <c r="I91" s="248" t="s">
        <v>7</v>
      </c>
      <c r="J91" s="250" t="s">
        <v>175</v>
      </c>
      <c r="K91" s="226" t="s">
        <v>170</v>
      </c>
    </row>
    <row r="92" spans="1:11" ht="12.75">
      <c r="A92" s="234">
        <v>425281</v>
      </c>
      <c r="B92" s="234"/>
      <c r="C92" s="234" t="s">
        <v>61</v>
      </c>
      <c r="D92" s="236">
        <v>3524</v>
      </c>
      <c r="E92" s="236">
        <v>3524</v>
      </c>
      <c r="F92" s="236"/>
      <c r="G92" s="236"/>
      <c r="H92" s="236"/>
      <c r="I92" s="236"/>
      <c r="J92" s="235"/>
      <c r="K92" s="159"/>
    </row>
    <row r="93" spans="1:11" ht="12.75">
      <c r="A93" s="237">
        <v>425291</v>
      </c>
      <c r="B93" s="237"/>
      <c r="C93" s="237" t="s">
        <v>62</v>
      </c>
      <c r="D93" s="238">
        <v>53836.8</v>
      </c>
      <c r="E93" s="238">
        <v>53686.8</v>
      </c>
      <c r="F93" s="238"/>
      <c r="G93" s="238">
        <v>150</v>
      </c>
      <c r="H93" s="238"/>
      <c r="I93" s="238"/>
      <c r="J93" s="239"/>
      <c r="K93" s="135"/>
    </row>
    <row r="94" spans="1:11" ht="12.75">
      <c r="A94" s="240">
        <v>4252</v>
      </c>
      <c r="B94" s="251">
        <f>D94*100/5006532.98</f>
        <v>5.279218194623777</v>
      </c>
      <c r="C94" s="240" t="s">
        <v>113</v>
      </c>
      <c r="D94" s="241">
        <f>D80+D81+D82+D83+D84+D85+D86+D87+D92+D93</f>
        <v>264305.8</v>
      </c>
      <c r="E94" s="241">
        <f>E80+E81+E82+E83+E84+E85+E86+E87+E92+E93</f>
        <v>158117.8</v>
      </c>
      <c r="F94" s="241"/>
      <c r="G94" s="241">
        <f>SUM(G85:G93)</f>
        <v>106188</v>
      </c>
      <c r="H94" s="241"/>
      <c r="I94" s="241"/>
      <c r="J94" s="242">
        <f>J80+J81+J82+J83+J84+J85+J86+J87+J92+J93</f>
        <v>2200000</v>
      </c>
      <c r="K94" s="135">
        <f>D94*100/J94</f>
        <v>12.0139</v>
      </c>
    </row>
    <row r="95" spans="1:11" ht="12.75">
      <c r="A95" s="237">
        <v>426111</v>
      </c>
      <c r="B95" s="251"/>
      <c r="C95" s="237" t="s">
        <v>63</v>
      </c>
      <c r="D95" s="238">
        <v>439441.28</v>
      </c>
      <c r="E95" s="238"/>
      <c r="F95" s="238">
        <v>439441.28</v>
      </c>
      <c r="G95" s="238"/>
      <c r="H95" s="238"/>
      <c r="I95" s="238"/>
      <c r="J95" s="239"/>
      <c r="K95" s="135"/>
    </row>
    <row r="96" spans="1:11" ht="12.75">
      <c r="A96" s="237">
        <v>426121</v>
      </c>
      <c r="B96" s="251"/>
      <c r="C96" s="237" t="s">
        <v>132</v>
      </c>
      <c r="D96" s="238">
        <v>8484.2</v>
      </c>
      <c r="E96" s="238">
        <v>8484.2</v>
      </c>
      <c r="F96" s="238"/>
      <c r="G96" s="238"/>
      <c r="H96" s="238"/>
      <c r="I96" s="238"/>
      <c r="J96" s="239"/>
      <c r="K96" s="135"/>
    </row>
    <row r="97" spans="1:11" ht="12.75">
      <c r="A97" s="237">
        <v>426129</v>
      </c>
      <c r="B97" s="251"/>
      <c r="C97" s="237" t="s">
        <v>64</v>
      </c>
      <c r="D97" s="238">
        <v>5392.6</v>
      </c>
      <c r="E97" s="238">
        <v>5392.6</v>
      </c>
      <c r="F97" s="238"/>
      <c r="G97" s="238"/>
      <c r="H97" s="238"/>
      <c r="I97" s="238"/>
      <c r="J97" s="239"/>
      <c r="K97" s="135"/>
    </row>
    <row r="98" spans="1:11" ht="12.75">
      <c r="A98" s="240">
        <v>4261</v>
      </c>
      <c r="B98" s="251">
        <f>D98*100/5006532.98</f>
        <v>9.054530986031773</v>
      </c>
      <c r="C98" s="240" t="s">
        <v>114</v>
      </c>
      <c r="D98" s="241">
        <f>SUM(D95:D97)</f>
        <v>453318.08</v>
      </c>
      <c r="E98" s="241">
        <f>SUM(E95:E97)</f>
        <v>13876.800000000001</v>
      </c>
      <c r="F98" s="241">
        <f>SUM(F95:F97)</f>
        <v>439441.28</v>
      </c>
      <c r="G98" s="241"/>
      <c r="H98" s="241"/>
      <c r="I98" s="241"/>
      <c r="J98" s="242">
        <v>1150000</v>
      </c>
      <c r="K98" s="135">
        <f>D98*100/J98</f>
        <v>39.41896347826087</v>
      </c>
    </row>
    <row r="99" spans="1:11" ht="12.75">
      <c r="A99" s="237">
        <v>426311</v>
      </c>
      <c r="B99" s="251"/>
      <c r="C99" s="237" t="s">
        <v>65</v>
      </c>
      <c r="D99" s="238">
        <v>77900</v>
      </c>
      <c r="E99" s="238"/>
      <c r="F99" s="238"/>
      <c r="G99" s="238">
        <v>77900</v>
      </c>
      <c r="H99" s="238"/>
      <c r="I99" s="238"/>
      <c r="J99" s="239"/>
      <c r="K99" s="135"/>
    </row>
    <row r="100" spans="1:11" ht="12.75">
      <c r="A100" s="240">
        <v>4263</v>
      </c>
      <c r="B100" s="251">
        <f>D100*100/5006532.98</f>
        <v>1.5559669797681028</v>
      </c>
      <c r="C100" s="240" t="s">
        <v>115</v>
      </c>
      <c r="D100" s="241">
        <f>SUM(D99)</f>
        <v>77900</v>
      </c>
      <c r="E100" s="241"/>
      <c r="F100" s="241"/>
      <c r="G100" s="241">
        <f>SUM(G99)</f>
        <v>77900</v>
      </c>
      <c r="H100" s="241"/>
      <c r="I100" s="241"/>
      <c r="J100" s="239"/>
      <c r="K100" s="135"/>
    </row>
    <row r="101" spans="1:11" ht="12.75">
      <c r="A101" s="237">
        <v>426491</v>
      </c>
      <c r="B101" s="251"/>
      <c r="C101" s="237" t="s">
        <v>69</v>
      </c>
      <c r="D101" s="238">
        <v>293820.82</v>
      </c>
      <c r="E101" s="238"/>
      <c r="F101" s="238">
        <v>293820.82</v>
      </c>
      <c r="G101" s="238"/>
      <c r="H101" s="238"/>
      <c r="I101" s="238"/>
      <c r="J101" s="239"/>
      <c r="K101" s="135"/>
    </row>
    <row r="102" spans="1:11" ht="12.75">
      <c r="A102" s="240">
        <v>4264</v>
      </c>
      <c r="B102" s="251">
        <f>D102*100/5006532.98</f>
        <v>5.8687483169240995</v>
      </c>
      <c r="C102" s="240" t="s">
        <v>116</v>
      </c>
      <c r="D102" s="241">
        <f>SUM(D101)</f>
        <v>293820.82</v>
      </c>
      <c r="E102" s="241">
        <f>SUM(E101)</f>
        <v>0</v>
      </c>
      <c r="F102" s="241">
        <f>SUM(F101)</f>
        <v>293820.82</v>
      </c>
      <c r="G102" s="241">
        <f>SUM(G101)</f>
        <v>0</v>
      </c>
      <c r="H102" s="241"/>
      <c r="I102" s="241"/>
      <c r="J102" s="241">
        <v>100000</v>
      </c>
      <c r="K102" s="135">
        <f>D102*100/J102</f>
        <v>293.82082</v>
      </c>
    </row>
    <row r="103" spans="1:11" ht="12.75">
      <c r="A103" s="237">
        <v>426811</v>
      </c>
      <c r="B103" s="251"/>
      <c r="C103" s="237" t="s">
        <v>76</v>
      </c>
      <c r="D103" s="238">
        <v>60097.97</v>
      </c>
      <c r="E103" s="238">
        <v>60097.97</v>
      </c>
      <c r="F103" s="238"/>
      <c r="G103" s="238"/>
      <c r="H103" s="238"/>
      <c r="I103" s="238"/>
      <c r="J103" s="239"/>
      <c r="K103" s="135"/>
    </row>
    <row r="104" spans="1:11" ht="12.75">
      <c r="A104" s="237">
        <v>426812</v>
      </c>
      <c r="B104" s="251"/>
      <c r="C104" s="237" t="s">
        <v>77</v>
      </c>
      <c r="D104" s="238">
        <v>16461</v>
      </c>
      <c r="E104" s="238">
        <v>16461</v>
      </c>
      <c r="F104" s="238"/>
      <c r="G104" s="238"/>
      <c r="H104" s="238"/>
      <c r="I104" s="238"/>
      <c r="J104" s="239"/>
      <c r="K104" s="135"/>
    </row>
    <row r="105" spans="1:11" ht="12.75">
      <c r="A105" s="237">
        <v>426819</v>
      </c>
      <c r="B105" s="251"/>
      <c r="C105" s="237" t="s">
        <v>78</v>
      </c>
      <c r="D105" s="238">
        <v>0</v>
      </c>
      <c r="E105" s="238"/>
      <c r="F105" s="238"/>
      <c r="G105" s="238"/>
      <c r="H105" s="238"/>
      <c r="I105" s="238"/>
      <c r="J105" s="239"/>
      <c r="K105" s="135"/>
    </row>
    <row r="106" spans="1:11" ht="12.75">
      <c r="A106" s="240">
        <v>4268</v>
      </c>
      <c r="B106" s="251">
        <f>D106*100/5006532.98</f>
        <v>1.5291813777285852</v>
      </c>
      <c r="C106" s="240" t="s">
        <v>118</v>
      </c>
      <c r="D106" s="241">
        <f>SUM(D103:D105)</f>
        <v>76558.97</v>
      </c>
      <c r="E106" s="241">
        <f>SUM(E103:E105)</f>
        <v>76558.97</v>
      </c>
      <c r="F106" s="241"/>
      <c r="G106" s="241"/>
      <c r="H106" s="241"/>
      <c r="I106" s="241"/>
      <c r="J106" s="242">
        <v>300000</v>
      </c>
      <c r="K106" s="135">
        <f>D106*100/J106</f>
        <v>25.519656666666666</v>
      </c>
    </row>
    <row r="107" spans="1:11" ht="12.75">
      <c r="A107" s="237">
        <v>426911</v>
      </c>
      <c r="B107" s="251"/>
      <c r="C107" s="237" t="s">
        <v>79</v>
      </c>
      <c r="D107" s="238">
        <f>E107+G107</f>
        <v>19220.72</v>
      </c>
      <c r="E107" s="238">
        <f>1358+16583.72</f>
        <v>17941.72</v>
      </c>
      <c r="F107" s="238"/>
      <c r="G107" s="238">
        <v>1279</v>
      </c>
      <c r="H107" s="238"/>
      <c r="I107" s="238"/>
      <c r="J107" s="239"/>
      <c r="K107" s="135"/>
    </row>
    <row r="108" spans="1:11" ht="12.75">
      <c r="A108" s="237">
        <v>426913</v>
      </c>
      <c r="B108" s="251"/>
      <c r="C108" s="237" t="s">
        <v>80</v>
      </c>
      <c r="D108" s="238">
        <v>84536</v>
      </c>
      <c r="E108" s="238">
        <v>83536</v>
      </c>
      <c r="F108" s="238"/>
      <c r="G108" s="238">
        <v>1000</v>
      </c>
      <c r="H108" s="238"/>
      <c r="I108" s="238"/>
      <c r="J108" s="239"/>
      <c r="K108" s="135"/>
    </row>
    <row r="109" spans="1:11" ht="12.75">
      <c r="A109" s="240">
        <v>4269</v>
      </c>
      <c r="B109" s="251">
        <f>D109*100/5006532.98</f>
        <v>2.0724265757258626</v>
      </c>
      <c r="C109" s="240" t="s">
        <v>119</v>
      </c>
      <c r="D109" s="241">
        <f>SUM(D107:D108)</f>
        <v>103756.72</v>
      </c>
      <c r="E109" s="241">
        <f>SUM(E107:E108)</f>
        <v>101477.72</v>
      </c>
      <c r="F109" s="241"/>
      <c r="G109" s="241">
        <f>SUM(G107:G108)</f>
        <v>2279</v>
      </c>
      <c r="H109" s="241"/>
      <c r="I109" s="241"/>
      <c r="J109" s="242">
        <v>1530000</v>
      </c>
      <c r="K109" s="135">
        <f>D109*100/J109</f>
        <v>6.781484967320261</v>
      </c>
    </row>
    <row r="110" spans="1:11" ht="12.75">
      <c r="A110" s="237">
        <v>431111</v>
      </c>
      <c r="B110" s="251"/>
      <c r="C110" s="237" t="s">
        <v>82</v>
      </c>
      <c r="D110" s="238"/>
      <c r="E110" s="238"/>
      <c r="F110" s="238"/>
      <c r="G110" s="238"/>
      <c r="H110" s="238"/>
      <c r="I110" s="238"/>
      <c r="J110" s="239"/>
      <c r="K110" s="135"/>
    </row>
    <row r="111" spans="1:11" ht="12.75">
      <c r="A111" s="240">
        <v>4311</v>
      </c>
      <c r="B111" s="251">
        <f>D111*100/5006532.98</f>
        <v>0</v>
      </c>
      <c r="C111" s="240" t="s">
        <v>83</v>
      </c>
      <c r="D111" s="241"/>
      <c r="E111" s="241"/>
      <c r="F111" s="241"/>
      <c r="G111" s="241"/>
      <c r="H111" s="241"/>
      <c r="I111" s="241"/>
      <c r="J111" s="239"/>
      <c r="K111" s="101"/>
    </row>
    <row r="112" spans="1:11" ht="12.75">
      <c r="A112" s="237">
        <v>431211</v>
      </c>
      <c r="B112" s="251"/>
      <c r="C112" s="237" t="s">
        <v>84</v>
      </c>
      <c r="D112" s="238"/>
      <c r="E112" s="238"/>
      <c r="F112" s="238"/>
      <c r="G112" s="238"/>
      <c r="H112" s="238"/>
      <c r="I112" s="238"/>
      <c r="J112" s="239"/>
      <c r="K112" s="101"/>
    </row>
    <row r="113" spans="1:11" ht="12.75">
      <c r="A113" s="240">
        <v>4312</v>
      </c>
      <c r="B113" s="251">
        <f>D113*100/5006532.98</f>
        <v>0</v>
      </c>
      <c r="C113" s="240" t="s">
        <v>84</v>
      </c>
      <c r="D113" s="241"/>
      <c r="E113" s="241"/>
      <c r="F113" s="241"/>
      <c r="G113" s="241"/>
      <c r="H113" s="241"/>
      <c r="I113" s="241"/>
      <c r="J113" s="239"/>
      <c r="K113" s="101"/>
    </row>
    <row r="114" spans="1:11" ht="12.75">
      <c r="A114" s="237">
        <v>444211</v>
      </c>
      <c r="B114" s="251"/>
      <c r="C114" s="237" t="s">
        <v>85</v>
      </c>
      <c r="D114" s="238">
        <v>5347.14</v>
      </c>
      <c r="E114" s="238"/>
      <c r="F114" s="238"/>
      <c r="G114" s="238">
        <v>4986.97</v>
      </c>
      <c r="H114" s="238">
        <v>360.17</v>
      </c>
      <c r="I114" s="238"/>
      <c r="J114" s="239"/>
      <c r="K114" s="101"/>
    </row>
    <row r="115" spans="1:11" ht="12.75">
      <c r="A115" s="240">
        <v>4442</v>
      </c>
      <c r="B115" s="251">
        <f>D115*100/5006532.98</f>
        <v>0.10680325129906564</v>
      </c>
      <c r="C115" s="240" t="s">
        <v>85</v>
      </c>
      <c r="D115" s="241">
        <f>SUM(D114)</f>
        <v>5347.14</v>
      </c>
      <c r="E115" s="241"/>
      <c r="F115" s="241"/>
      <c r="G115" s="241">
        <f>SUM(G114)</f>
        <v>4986.97</v>
      </c>
      <c r="H115" s="241">
        <f>SUM(H114)</f>
        <v>360.17</v>
      </c>
      <c r="I115" s="241"/>
      <c r="J115" s="239"/>
      <c r="K115" s="101"/>
    </row>
    <row r="116" spans="1:11" ht="12.75">
      <c r="A116" s="237">
        <v>482131</v>
      </c>
      <c r="B116" s="251"/>
      <c r="C116" s="237" t="s">
        <v>86</v>
      </c>
      <c r="D116" s="238">
        <v>3142.5</v>
      </c>
      <c r="E116" s="238">
        <v>3142.5</v>
      </c>
      <c r="F116" s="238"/>
      <c r="G116" s="238"/>
      <c r="H116" s="238"/>
      <c r="I116" s="238"/>
      <c r="J116" s="239"/>
      <c r="K116" s="101"/>
    </row>
    <row r="117" spans="1:11" ht="12.75">
      <c r="A117" s="240">
        <v>4821</v>
      </c>
      <c r="B117" s="251">
        <f>D117*100/5006532.98</f>
        <v>0.06276798759847578</v>
      </c>
      <c r="C117" s="240" t="s">
        <v>87</v>
      </c>
      <c r="D117" s="241">
        <f>SUM(D116)</f>
        <v>3142.5</v>
      </c>
      <c r="E117" s="241">
        <f>SUM(E116)</f>
        <v>3142.5</v>
      </c>
      <c r="F117" s="241"/>
      <c r="G117" s="241"/>
      <c r="H117" s="241"/>
      <c r="I117" s="241"/>
      <c r="J117" s="239"/>
      <c r="K117" s="101"/>
    </row>
    <row r="118" spans="1:11" ht="12.75">
      <c r="A118" s="237">
        <v>482211</v>
      </c>
      <c r="B118" s="251"/>
      <c r="C118" s="237" t="s">
        <v>88</v>
      </c>
      <c r="D118" s="238">
        <v>0</v>
      </c>
      <c r="E118" s="238"/>
      <c r="F118" s="238"/>
      <c r="G118" s="238"/>
      <c r="H118" s="238"/>
      <c r="I118" s="238"/>
      <c r="J118" s="239"/>
      <c r="K118" s="101"/>
    </row>
    <row r="119" spans="1:11" ht="12.75">
      <c r="A119" s="234">
        <v>482241</v>
      </c>
      <c r="B119" s="251"/>
      <c r="C119" s="234" t="s">
        <v>91</v>
      </c>
      <c r="D119" s="236">
        <v>43549</v>
      </c>
      <c r="E119" s="236">
        <v>40399</v>
      </c>
      <c r="F119" s="236"/>
      <c r="G119" s="236"/>
      <c r="H119" s="236">
        <v>3150</v>
      </c>
      <c r="I119" s="236"/>
      <c r="J119" s="239"/>
      <c r="K119" s="101"/>
    </row>
    <row r="120" spans="1:11" ht="12.75">
      <c r="A120" s="237">
        <v>482251</v>
      </c>
      <c r="B120" s="251"/>
      <c r="C120" s="237" t="s">
        <v>89</v>
      </c>
      <c r="D120" s="238">
        <v>96783</v>
      </c>
      <c r="E120" s="238">
        <v>6070</v>
      </c>
      <c r="F120" s="238"/>
      <c r="G120" s="238">
        <v>90713</v>
      </c>
      <c r="H120" s="238"/>
      <c r="I120" s="238"/>
      <c r="J120" s="239"/>
      <c r="K120" s="101"/>
    </row>
    <row r="121" spans="1:11" ht="12.75">
      <c r="A121" s="240">
        <v>4822</v>
      </c>
      <c r="B121" s="251">
        <f>D121*100/5006532.98</f>
        <v>2.8029776406266675</v>
      </c>
      <c r="C121" s="240" t="s">
        <v>90</v>
      </c>
      <c r="D121" s="241">
        <f>SUM(D118:D120)</f>
        <v>140332</v>
      </c>
      <c r="E121" s="241">
        <f>SUM(E118:E120)</f>
        <v>46469</v>
      </c>
      <c r="F121" s="241"/>
      <c r="G121" s="241">
        <f>SUM(G118:G120)</f>
        <v>90713</v>
      </c>
      <c r="H121" s="241">
        <f>SUM(H118:H120)</f>
        <v>3150</v>
      </c>
      <c r="I121" s="241"/>
      <c r="J121" s="239"/>
      <c r="K121" s="101"/>
    </row>
    <row r="122" spans="1:11" ht="12.75">
      <c r="A122" s="240"/>
      <c r="B122" s="240"/>
      <c r="C122" s="240" t="s">
        <v>187</v>
      </c>
      <c r="D122" s="241"/>
      <c r="E122" s="241"/>
      <c r="F122" s="241"/>
      <c r="G122" s="241"/>
      <c r="H122" s="241"/>
      <c r="I122" s="241"/>
      <c r="J122" s="242">
        <v>2200000</v>
      </c>
      <c r="K122" s="101">
        <f>D122*100/J122</f>
        <v>0</v>
      </c>
    </row>
    <row r="123" spans="1:11" s="97" customFormat="1" ht="12.75">
      <c r="A123" s="240"/>
      <c r="B123" s="256">
        <f>D123*100/107362902.49</f>
        <v>1.9922079511581952</v>
      </c>
      <c r="C123" s="240" t="s">
        <v>180</v>
      </c>
      <c r="D123" s="241">
        <f aca="true" t="shared" si="3" ref="D123:I123">D124+D125+D126+D127+D128</f>
        <v>2138892.28</v>
      </c>
      <c r="E123" s="241">
        <f t="shared" si="3"/>
        <v>2094060.63</v>
      </c>
      <c r="F123" s="241">
        <f t="shared" si="3"/>
        <v>0</v>
      </c>
      <c r="G123" s="241">
        <f t="shared" si="3"/>
        <v>700</v>
      </c>
      <c r="H123" s="241">
        <f t="shared" si="3"/>
        <v>44131.65</v>
      </c>
      <c r="I123" s="241">
        <f t="shared" si="3"/>
        <v>0</v>
      </c>
      <c r="J123" s="241">
        <v>14025000</v>
      </c>
      <c r="K123" s="106">
        <f>D123*100/J123</f>
        <v>15.250568841354722</v>
      </c>
    </row>
    <row r="124" spans="1:11" ht="12.75">
      <c r="A124" s="237">
        <v>421211</v>
      </c>
      <c r="B124" s="251">
        <f>D124*100/2138892.28</f>
        <v>31.25795937699116</v>
      </c>
      <c r="C124" s="237" t="s">
        <v>23</v>
      </c>
      <c r="D124" s="238">
        <v>668574.08</v>
      </c>
      <c r="E124" s="238">
        <v>624442.43</v>
      </c>
      <c r="F124" s="238"/>
      <c r="G124" s="238"/>
      <c r="H124" s="238">
        <v>44131.65</v>
      </c>
      <c r="I124" s="238"/>
      <c r="J124" s="239">
        <v>3000000</v>
      </c>
      <c r="K124" s="135">
        <f>D124*100/J124</f>
        <v>22.285802666666665</v>
      </c>
    </row>
    <row r="125" spans="1:11" ht="12.75">
      <c r="A125" s="237">
        <v>421225</v>
      </c>
      <c r="B125" s="251">
        <f>D125*100/2138892.28</f>
        <v>1.931756937287183</v>
      </c>
      <c r="C125" s="237" t="s">
        <v>24</v>
      </c>
      <c r="D125" s="238">
        <v>41318.2</v>
      </c>
      <c r="E125" s="238">
        <v>41318.2</v>
      </c>
      <c r="F125" s="238"/>
      <c r="G125" s="238"/>
      <c r="H125" s="238"/>
      <c r="I125" s="238"/>
      <c r="J125" s="239">
        <v>4000000</v>
      </c>
      <c r="K125" s="135">
        <f>D125*100/J125</f>
        <v>1.0329549999999998</v>
      </c>
    </row>
    <row r="126" spans="1:11" ht="12.75">
      <c r="A126" s="237">
        <v>426411</v>
      </c>
      <c r="B126" s="251">
        <f>D126*100/2138892.28</f>
        <v>57.45964916007832</v>
      </c>
      <c r="C126" s="237" t="s">
        <v>66</v>
      </c>
      <c r="D126" s="238">
        <v>1229000</v>
      </c>
      <c r="E126" s="238">
        <v>1228300</v>
      </c>
      <c r="F126" s="238"/>
      <c r="G126" s="238">
        <v>700</v>
      </c>
      <c r="H126" s="238"/>
      <c r="I126" s="238"/>
      <c r="J126" s="239"/>
      <c r="K126" s="135"/>
    </row>
    <row r="127" spans="1:11" ht="12.75">
      <c r="A127" s="237">
        <v>426412</v>
      </c>
      <c r="B127" s="251">
        <f>D127*100/2138892.28</f>
        <v>9.35063452564334</v>
      </c>
      <c r="C127" s="237" t="s">
        <v>67</v>
      </c>
      <c r="D127" s="238">
        <v>200000</v>
      </c>
      <c r="E127" s="238">
        <v>200000</v>
      </c>
      <c r="F127" s="238"/>
      <c r="G127" s="238"/>
      <c r="H127" s="238"/>
      <c r="I127" s="238"/>
      <c r="J127" s="239"/>
      <c r="K127" s="101"/>
    </row>
    <row r="128" spans="1:11" ht="12.75">
      <c r="A128" s="237">
        <v>426413</v>
      </c>
      <c r="B128" s="251">
        <f>D128*100/2138892.28</f>
        <v>0</v>
      </c>
      <c r="C128" s="237" t="s">
        <v>68</v>
      </c>
      <c r="D128" s="238"/>
      <c r="E128" s="238"/>
      <c r="F128" s="238"/>
      <c r="G128" s="238"/>
      <c r="H128" s="238"/>
      <c r="I128" s="238"/>
      <c r="J128" s="239"/>
      <c r="K128" s="101"/>
    </row>
    <row r="129" spans="1:11" ht="12.75">
      <c r="A129" s="257"/>
      <c r="B129" s="256"/>
      <c r="C129" s="257" t="s">
        <v>181</v>
      </c>
      <c r="D129" s="238"/>
      <c r="E129" s="238"/>
      <c r="F129" s="238"/>
      <c r="G129" s="238"/>
      <c r="H129" s="238"/>
      <c r="I129" s="238"/>
      <c r="J129" s="239"/>
      <c r="K129" s="101"/>
    </row>
    <row r="130" spans="1:11" s="97" customFormat="1" ht="12.75">
      <c r="A130" s="257"/>
      <c r="B130" s="256">
        <f>D130*100/107362902.49</f>
        <v>1.4428386659389019</v>
      </c>
      <c r="C130" s="257" t="s">
        <v>182</v>
      </c>
      <c r="D130" s="238">
        <f>D131+D132+D137+D138</f>
        <v>1549073.47</v>
      </c>
      <c r="E130" s="238">
        <f>E131+E132+E137+E138</f>
        <v>1355641.14</v>
      </c>
      <c r="F130" s="238">
        <f>F131+F132+F137+F138</f>
        <v>0</v>
      </c>
      <c r="G130" s="238">
        <f>G131+G132+G137+G138</f>
        <v>193432.33000000002</v>
      </c>
      <c r="H130" s="238">
        <f>H131+H132+H137+H138</f>
        <v>0</v>
      </c>
      <c r="I130" s="238"/>
      <c r="J130" s="239">
        <v>11156000</v>
      </c>
      <c r="K130" s="106">
        <f>D130*100/J130</f>
        <v>13.885563553244891</v>
      </c>
    </row>
    <row r="131" spans="1:11" ht="12.75">
      <c r="A131" s="237">
        <v>4267111</v>
      </c>
      <c r="B131" s="239">
        <f>D131*100/1549073.47</f>
        <v>9.038112311096516</v>
      </c>
      <c r="C131" s="237" t="s">
        <v>70</v>
      </c>
      <c r="D131" s="238">
        <v>140007</v>
      </c>
      <c r="E131" s="238">
        <v>140007</v>
      </c>
      <c r="F131" s="238"/>
      <c r="G131" s="238"/>
      <c r="H131" s="238"/>
      <c r="I131" s="238"/>
      <c r="J131" s="239"/>
      <c r="K131" s="101"/>
    </row>
    <row r="132" spans="1:11" ht="12.75">
      <c r="A132" s="237">
        <v>4267112</v>
      </c>
      <c r="B132" s="239">
        <f>D132*100/1549073.47</f>
        <v>28.165345185338435</v>
      </c>
      <c r="C132" s="237" t="s">
        <v>71</v>
      </c>
      <c r="D132" s="238">
        <v>436301.89</v>
      </c>
      <c r="E132" s="238">
        <v>383439.07</v>
      </c>
      <c r="F132" s="238"/>
      <c r="G132" s="238">
        <v>52862.82</v>
      </c>
      <c r="H132" s="238"/>
      <c r="I132" s="238"/>
      <c r="J132" s="239"/>
      <c r="K132" s="101"/>
    </row>
    <row r="133" spans="1:11" ht="12.75">
      <c r="A133" s="247"/>
      <c r="B133" s="246"/>
      <c r="C133" s="247"/>
      <c r="D133" s="255"/>
      <c r="E133" s="255"/>
      <c r="F133" s="255"/>
      <c r="G133" s="258"/>
      <c r="H133" s="255"/>
      <c r="I133" s="255"/>
      <c r="J133" s="246"/>
      <c r="K133" s="122"/>
    </row>
    <row r="134" spans="1:11" ht="12.75">
      <c r="A134" s="247"/>
      <c r="B134" s="246"/>
      <c r="C134" s="247"/>
      <c r="D134" s="255"/>
      <c r="E134" s="255"/>
      <c r="F134" s="255"/>
      <c r="G134" s="258"/>
      <c r="H134" s="255"/>
      <c r="I134" s="255"/>
      <c r="J134" s="246"/>
      <c r="K134" s="122"/>
    </row>
    <row r="135" spans="1:11" ht="12.75">
      <c r="A135" s="231" t="s">
        <v>225</v>
      </c>
      <c r="B135" s="231"/>
      <c r="C135" s="231"/>
      <c r="D135" s="231"/>
      <c r="E135" s="231"/>
      <c r="F135" s="228"/>
      <c r="G135" s="259"/>
      <c r="H135" s="245"/>
      <c r="I135" s="245"/>
      <c r="J135" s="231" t="s">
        <v>223</v>
      </c>
      <c r="K135" s="122" t="s">
        <v>188</v>
      </c>
    </row>
    <row r="136" spans="1:11" ht="33.75">
      <c r="A136" s="232" t="s">
        <v>0</v>
      </c>
      <c r="B136" s="232" t="s">
        <v>208</v>
      </c>
      <c r="C136" s="232" t="s">
        <v>1</v>
      </c>
      <c r="D136" s="232" t="s">
        <v>2</v>
      </c>
      <c r="E136" s="232" t="s">
        <v>3</v>
      </c>
      <c r="F136" s="233" t="s">
        <v>4</v>
      </c>
      <c r="G136" s="232" t="s">
        <v>5</v>
      </c>
      <c r="H136" s="232" t="s">
        <v>6</v>
      </c>
      <c r="I136" s="232" t="s">
        <v>7</v>
      </c>
      <c r="J136" s="260" t="s">
        <v>175</v>
      </c>
      <c r="K136" s="181" t="s">
        <v>170</v>
      </c>
    </row>
    <row r="137" spans="1:11" ht="12.75">
      <c r="A137" s="237">
        <v>4267113</v>
      </c>
      <c r="B137" s="239">
        <f>D137*100/1549073.47</f>
        <v>9.07442498514935</v>
      </c>
      <c r="C137" s="237" t="s">
        <v>72</v>
      </c>
      <c r="D137" s="238">
        <v>140569.51</v>
      </c>
      <c r="E137" s="238"/>
      <c r="F137" s="238"/>
      <c r="G137" s="238">
        <v>140569.51</v>
      </c>
      <c r="H137" s="238"/>
      <c r="I137" s="238"/>
      <c r="J137" s="239"/>
      <c r="K137" s="101"/>
    </row>
    <row r="138" spans="1:11" ht="12.75">
      <c r="A138" s="237">
        <v>426721</v>
      </c>
      <c r="B138" s="239">
        <f>D138*100/1549073.47</f>
        <v>53.7221175184157</v>
      </c>
      <c r="C138" s="237" t="s">
        <v>73</v>
      </c>
      <c r="D138" s="238">
        <v>832195.07</v>
      </c>
      <c r="E138" s="238">
        <v>832195.07</v>
      </c>
      <c r="F138" s="238"/>
      <c r="G138" s="238"/>
      <c r="H138" s="238"/>
      <c r="I138" s="238"/>
      <c r="J138" s="239"/>
      <c r="K138" s="101"/>
    </row>
    <row r="139" spans="1:11" s="97" customFormat="1" ht="12.75">
      <c r="A139" s="237"/>
      <c r="B139" s="242">
        <f>D139*100/D166</f>
        <v>1.4166251607641311</v>
      </c>
      <c r="C139" s="257" t="s">
        <v>183</v>
      </c>
      <c r="D139" s="238">
        <f>D140+D141</f>
        <v>1520929.8900000001</v>
      </c>
      <c r="E139" s="238">
        <f>E140+E141</f>
        <v>1520929.8900000001</v>
      </c>
      <c r="F139" s="238">
        <f>F140+F141</f>
        <v>0</v>
      </c>
      <c r="G139" s="238">
        <f>G140+G141</f>
        <v>0</v>
      </c>
      <c r="H139" s="238"/>
      <c r="I139" s="238"/>
      <c r="J139" s="239">
        <v>14155000</v>
      </c>
      <c r="K139" s="106">
        <f>D139*100/J139</f>
        <v>10.744824373013069</v>
      </c>
    </row>
    <row r="140" spans="1:11" ht="12.75">
      <c r="A140" s="237">
        <v>4267510</v>
      </c>
      <c r="B140" s="239">
        <f>D140*100/1520929.89</f>
        <v>75.19485727248086</v>
      </c>
      <c r="C140" s="237" t="s">
        <v>75</v>
      </c>
      <c r="D140" s="238">
        <v>1143661.06</v>
      </c>
      <c r="E140" s="238">
        <v>1143661.06</v>
      </c>
      <c r="F140" s="238"/>
      <c r="G140" s="238"/>
      <c r="H140" s="238"/>
      <c r="I140" s="238"/>
      <c r="J140" s="239"/>
      <c r="K140" s="101"/>
    </row>
    <row r="141" spans="1:11" ht="12.75">
      <c r="A141" s="237">
        <v>4267511</v>
      </c>
      <c r="B141" s="239">
        <f>D141*100/1520929.89</f>
        <v>24.80514272751915</v>
      </c>
      <c r="C141" s="237" t="s">
        <v>74</v>
      </c>
      <c r="D141" s="238">
        <v>377268.83</v>
      </c>
      <c r="E141" s="238">
        <v>377268.83</v>
      </c>
      <c r="F141" s="238"/>
      <c r="G141" s="238"/>
      <c r="H141" s="238"/>
      <c r="I141" s="238"/>
      <c r="J141" s="239"/>
      <c r="K141" s="101"/>
    </row>
    <row r="142" spans="1:11" ht="12.75">
      <c r="A142" s="237"/>
      <c r="B142" s="242">
        <f>D142*100/D166</f>
        <v>98.70296679047988</v>
      </c>
      <c r="C142" s="240" t="s">
        <v>134</v>
      </c>
      <c r="D142" s="241">
        <f aca="true" t="shared" si="4" ref="D142:I142">D139+D130+D123+D26+D21+D18+D25</f>
        <v>105970369.99000001</v>
      </c>
      <c r="E142" s="241">
        <f t="shared" si="4"/>
        <v>97678691.37</v>
      </c>
      <c r="F142" s="241">
        <f t="shared" si="4"/>
        <v>1633750.0000000002</v>
      </c>
      <c r="G142" s="241">
        <f t="shared" si="4"/>
        <v>4973233.119999999</v>
      </c>
      <c r="H142" s="241">
        <f t="shared" si="4"/>
        <v>244901.87000000002</v>
      </c>
      <c r="I142" s="241">
        <f t="shared" si="4"/>
        <v>1439793.63</v>
      </c>
      <c r="J142" s="241">
        <f>J139+J130+J123+J26+J21+J18</f>
        <v>279136725</v>
      </c>
      <c r="K142" s="138">
        <f>D142*100/J142</f>
        <v>37.96360725733957</v>
      </c>
    </row>
    <row r="143" spans="1:11" ht="12.75">
      <c r="A143" s="247"/>
      <c r="B143" s="247"/>
      <c r="C143" s="244"/>
      <c r="D143" s="245"/>
      <c r="E143" s="245"/>
      <c r="F143" s="245"/>
      <c r="G143" s="245"/>
      <c r="H143" s="245"/>
      <c r="I143" s="245"/>
      <c r="J143" s="246"/>
      <c r="K143" s="122"/>
    </row>
    <row r="144" spans="1:11" ht="12.75">
      <c r="A144" s="247"/>
      <c r="B144" s="247"/>
      <c r="C144" s="244" t="s">
        <v>195</v>
      </c>
      <c r="D144" s="245"/>
      <c r="E144" s="245"/>
      <c r="F144" s="245"/>
      <c r="G144" s="245"/>
      <c r="H144" s="245"/>
      <c r="I144" s="245"/>
      <c r="J144" s="245"/>
      <c r="K144" s="122"/>
    </row>
    <row r="145" spans="1:11" ht="33.75">
      <c r="A145" s="232" t="s">
        <v>0</v>
      </c>
      <c r="B145" s="232" t="s">
        <v>208</v>
      </c>
      <c r="C145" s="232" t="s">
        <v>1</v>
      </c>
      <c r="D145" s="232" t="s">
        <v>2</v>
      </c>
      <c r="E145" s="232" t="s">
        <v>3</v>
      </c>
      <c r="F145" s="233" t="s">
        <v>4</v>
      </c>
      <c r="G145" s="232" t="s">
        <v>5</v>
      </c>
      <c r="H145" s="232" t="s">
        <v>6</v>
      </c>
      <c r="I145" s="232" t="s">
        <v>7</v>
      </c>
      <c r="J145" s="260" t="s">
        <v>175</v>
      </c>
      <c r="K145" s="181" t="s">
        <v>170</v>
      </c>
    </row>
    <row r="146" spans="1:11" ht="12.75">
      <c r="A146" s="261">
        <v>512111</v>
      </c>
      <c r="B146" s="261"/>
      <c r="C146" s="262" t="s">
        <v>124</v>
      </c>
      <c r="D146" s="263">
        <v>1376602.5</v>
      </c>
      <c r="E146" s="264"/>
      <c r="F146" s="265"/>
      <c r="G146" s="236">
        <v>1376602.5</v>
      </c>
      <c r="H146" s="264"/>
      <c r="I146" s="264"/>
      <c r="J146" s="235"/>
      <c r="K146" s="159"/>
    </row>
    <row r="147" spans="1:11" ht="12.75">
      <c r="A147" s="266">
        <v>5121</v>
      </c>
      <c r="B147" s="266"/>
      <c r="C147" s="267" t="s">
        <v>125</v>
      </c>
      <c r="D147" s="268">
        <f>SUM(D146)</f>
        <v>1376602.5</v>
      </c>
      <c r="E147" s="269"/>
      <c r="F147" s="241"/>
      <c r="G147" s="241">
        <f>SUM(G146)</f>
        <v>1376602.5</v>
      </c>
      <c r="H147" s="269"/>
      <c r="I147" s="269"/>
      <c r="J147" s="242">
        <v>1400000</v>
      </c>
      <c r="K147" s="106">
        <f>D147*100/J147</f>
        <v>98.32875</v>
      </c>
    </row>
    <row r="148" spans="1:11" ht="12.75">
      <c r="A148" s="237">
        <v>512211</v>
      </c>
      <c r="B148" s="237"/>
      <c r="C148" s="237" t="s">
        <v>120</v>
      </c>
      <c r="D148" s="238">
        <v>15930</v>
      </c>
      <c r="E148" s="238"/>
      <c r="F148" s="238"/>
      <c r="G148" s="238">
        <v>15930</v>
      </c>
      <c r="H148" s="238"/>
      <c r="I148" s="238"/>
      <c r="J148" s="239"/>
      <c r="K148" s="101"/>
    </row>
    <row r="149" spans="1:11" ht="12.75">
      <c r="A149" s="237">
        <v>512221</v>
      </c>
      <c r="B149" s="237"/>
      <c r="C149" s="237" t="s">
        <v>56</v>
      </c>
      <c r="D149" s="238">
        <v>0</v>
      </c>
      <c r="E149" s="238"/>
      <c r="F149" s="238"/>
      <c r="G149" s="238"/>
      <c r="H149" s="238"/>
      <c r="I149" s="238"/>
      <c r="J149" s="239"/>
      <c r="K149" s="101"/>
    </row>
    <row r="150" spans="1:11" ht="12.75">
      <c r="A150" s="237">
        <v>512222</v>
      </c>
      <c r="B150" s="237"/>
      <c r="C150" s="237" t="s">
        <v>121</v>
      </c>
      <c r="D150" s="238">
        <v>0</v>
      </c>
      <c r="E150" s="238"/>
      <c r="F150" s="238"/>
      <c r="G150" s="238"/>
      <c r="H150" s="238"/>
      <c r="I150" s="238"/>
      <c r="J150" s="239"/>
      <c r="K150" s="101"/>
    </row>
    <row r="151" spans="1:11" ht="12.75">
      <c r="A151" s="237">
        <v>512251</v>
      </c>
      <c r="B151" s="237"/>
      <c r="C151" s="237" t="s">
        <v>122</v>
      </c>
      <c r="D151" s="238">
        <v>0</v>
      </c>
      <c r="E151" s="238"/>
      <c r="F151" s="238"/>
      <c r="G151" s="238"/>
      <c r="H151" s="238"/>
      <c r="I151" s="238"/>
      <c r="J151" s="239"/>
      <c r="K151" s="101"/>
    </row>
    <row r="152" spans="1:11" ht="12.75">
      <c r="A152" s="240">
        <v>5122</v>
      </c>
      <c r="B152" s="240"/>
      <c r="C152" s="240" t="s">
        <v>123</v>
      </c>
      <c r="D152" s="241">
        <f>SUM(D148:D151)</f>
        <v>15930</v>
      </c>
      <c r="E152" s="241"/>
      <c r="F152" s="241"/>
      <c r="G152" s="241">
        <f>SUM(G148:G151)</f>
        <v>15930</v>
      </c>
      <c r="H152" s="241"/>
      <c r="I152" s="241"/>
      <c r="J152" s="239"/>
      <c r="K152" s="101"/>
    </row>
    <row r="153" spans="1:11" ht="12.75">
      <c r="A153" s="237">
        <v>512511</v>
      </c>
      <c r="B153" s="237"/>
      <c r="C153" s="237" t="s">
        <v>126</v>
      </c>
      <c r="D153" s="238"/>
      <c r="E153" s="238"/>
      <c r="F153" s="238"/>
      <c r="G153" s="238"/>
      <c r="H153" s="238"/>
      <c r="I153" s="238"/>
      <c r="J153" s="239"/>
      <c r="K153" s="101"/>
    </row>
    <row r="154" spans="1:11" ht="12.75">
      <c r="A154" s="237">
        <v>512521</v>
      </c>
      <c r="B154" s="237"/>
      <c r="C154" s="237" t="s">
        <v>127</v>
      </c>
      <c r="D154" s="238"/>
      <c r="E154" s="238"/>
      <c r="F154" s="238"/>
      <c r="G154" s="238"/>
      <c r="H154" s="238"/>
      <c r="I154" s="238"/>
      <c r="J154" s="239"/>
      <c r="K154" s="101"/>
    </row>
    <row r="155" spans="1:11" ht="12.75">
      <c r="A155" s="240">
        <v>5125</v>
      </c>
      <c r="B155" s="240"/>
      <c r="C155" s="240" t="s">
        <v>128</v>
      </c>
      <c r="D155" s="241"/>
      <c r="E155" s="241"/>
      <c r="F155" s="241"/>
      <c r="G155" s="241"/>
      <c r="H155" s="241"/>
      <c r="I155" s="241"/>
      <c r="J155" s="239"/>
      <c r="K155" s="101"/>
    </row>
    <row r="156" spans="1:11" s="97" customFormat="1" ht="12.75">
      <c r="A156" s="244"/>
      <c r="B156" s="256">
        <f>D156*100/D166</f>
        <v>1.2970332095201162</v>
      </c>
      <c r="C156" s="240" t="s">
        <v>135</v>
      </c>
      <c r="D156" s="241">
        <f>SUM(D152,D147)</f>
        <v>1392532.5</v>
      </c>
      <c r="E156" s="241"/>
      <c r="F156" s="241"/>
      <c r="G156" s="241">
        <f>G152+G147</f>
        <v>1392532.5</v>
      </c>
      <c r="H156" s="241">
        <f>H152+H147</f>
        <v>0</v>
      </c>
      <c r="I156" s="241">
        <f>I152+I147</f>
        <v>0</v>
      </c>
      <c r="J156" s="241">
        <f>J152+J147</f>
        <v>1400000</v>
      </c>
      <c r="K156" s="101"/>
    </row>
    <row r="157" spans="1:11" ht="12.75">
      <c r="A157" s="247"/>
      <c r="B157" s="247"/>
      <c r="C157" s="247"/>
      <c r="D157" s="255"/>
      <c r="E157" s="255"/>
      <c r="F157" s="255"/>
      <c r="G157" s="255"/>
      <c r="H157" s="255"/>
      <c r="I157" s="255"/>
      <c r="J157" s="246"/>
      <c r="K157" s="122"/>
    </row>
    <row r="158" spans="1:11" s="97" customFormat="1" ht="12.75">
      <c r="A158" s="247"/>
      <c r="B158" s="247"/>
      <c r="C158" s="240" t="s">
        <v>167</v>
      </c>
      <c r="D158" s="241">
        <f aca="true" t="shared" si="5" ref="D158:J158">D142+D156</f>
        <v>107362902.49000001</v>
      </c>
      <c r="E158" s="241">
        <f t="shared" si="5"/>
        <v>97678691.37</v>
      </c>
      <c r="F158" s="241">
        <f t="shared" si="5"/>
        <v>1633750.0000000002</v>
      </c>
      <c r="G158" s="241">
        <f t="shared" si="5"/>
        <v>6365765.619999999</v>
      </c>
      <c r="H158" s="241">
        <f t="shared" si="5"/>
        <v>244901.87000000002</v>
      </c>
      <c r="I158" s="241">
        <f t="shared" si="5"/>
        <v>1439793.63</v>
      </c>
      <c r="J158" s="241">
        <f t="shared" si="5"/>
        <v>280536725</v>
      </c>
      <c r="K158" s="106">
        <f>D158*100/J158</f>
        <v>38.27053391672695</v>
      </c>
    </row>
    <row r="159" spans="1:11" ht="12.75">
      <c r="A159" s="270"/>
      <c r="B159" s="270"/>
      <c r="C159" s="240" t="s">
        <v>189</v>
      </c>
      <c r="D159" s="271"/>
      <c r="E159" s="237"/>
      <c r="F159" s="237"/>
      <c r="G159" s="239"/>
      <c r="H159" s="271"/>
      <c r="I159" s="271"/>
      <c r="J159" s="239">
        <v>12723275</v>
      </c>
      <c r="K159" s="157"/>
    </row>
    <row r="160" spans="1:11" ht="12.75">
      <c r="A160" s="230"/>
      <c r="B160" s="230"/>
      <c r="C160" s="240" t="s">
        <v>190</v>
      </c>
      <c r="D160" s="271"/>
      <c r="E160" s="237"/>
      <c r="F160" s="237"/>
      <c r="G160" s="239"/>
      <c r="H160" s="271"/>
      <c r="I160" s="271"/>
      <c r="J160" s="239">
        <v>4000000</v>
      </c>
      <c r="K160" s="157"/>
    </row>
    <row r="161" spans="1:11" ht="12.75">
      <c r="A161" s="230"/>
      <c r="B161" s="230"/>
      <c r="C161" s="240" t="s">
        <v>191</v>
      </c>
      <c r="D161" s="271"/>
      <c r="E161" s="237"/>
      <c r="F161" s="237"/>
      <c r="G161" s="239"/>
      <c r="H161" s="271"/>
      <c r="I161" s="271"/>
      <c r="J161" s="239">
        <v>1437000</v>
      </c>
      <c r="K161" s="157"/>
    </row>
    <row r="162" spans="1:11" ht="12.75">
      <c r="A162" s="230"/>
      <c r="B162" s="230"/>
      <c r="C162" s="240" t="s">
        <v>192</v>
      </c>
      <c r="D162" s="271"/>
      <c r="E162" s="237"/>
      <c r="F162" s="237"/>
      <c r="G162" s="239"/>
      <c r="H162" s="271"/>
      <c r="I162" s="271"/>
      <c r="J162" s="239">
        <v>2686275</v>
      </c>
      <c r="K162" s="157"/>
    </row>
    <row r="163" spans="1:11" ht="12.75">
      <c r="A163" s="230"/>
      <c r="B163" s="230"/>
      <c r="C163" s="240" t="s">
        <v>193</v>
      </c>
      <c r="D163" s="271"/>
      <c r="E163" s="237"/>
      <c r="F163" s="237"/>
      <c r="G163" s="239"/>
      <c r="H163" s="271"/>
      <c r="I163" s="271"/>
      <c r="J163" s="239">
        <v>4600000</v>
      </c>
      <c r="K163" s="157"/>
    </row>
    <row r="164" spans="1:11" ht="12.75">
      <c r="A164" s="230"/>
      <c r="B164" s="230"/>
      <c r="C164" s="257" t="s">
        <v>194</v>
      </c>
      <c r="D164" s="272"/>
      <c r="E164" s="257"/>
      <c r="F164" s="257"/>
      <c r="G164" s="242"/>
      <c r="H164" s="272"/>
      <c r="I164" s="272"/>
      <c r="J164" s="242">
        <f>SUM(J160:J163)</f>
        <v>12723275</v>
      </c>
      <c r="K164" s="157"/>
    </row>
    <row r="165" spans="1:11" ht="12.75">
      <c r="A165" s="230"/>
      <c r="B165" s="230"/>
      <c r="C165" s="230"/>
      <c r="D165" s="230"/>
      <c r="E165" s="247"/>
      <c r="F165" s="247"/>
      <c r="G165" s="246"/>
      <c r="H165" s="230"/>
      <c r="I165" s="230"/>
      <c r="J165" s="273"/>
      <c r="K165" s="145"/>
    </row>
    <row r="166" spans="1:11" s="97" customFormat="1" ht="12.75">
      <c r="A166" s="230"/>
      <c r="B166" s="230"/>
      <c r="C166" s="257" t="s">
        <v>167</v>
      </c>
      <c r="D166" s="274">
        <f aca="true" t="shared" si="6" ref="D166:I166">D158</f>
        <v>107362902.49000001</v>
      </c>
      <c r="E166" s="274">
        <f t="shared" si="6"/>
        <v>97678691.37</v>
      </c>
      <c r="F166" s="274">
        <f t="shared" si="6"/>
        <v>1633750.0000000002</v>
      </c>
      <c r="G166" s="274">
        <f t="shared" si="6"/>
        <v>6365765.619999999</v>
      </c>
      <c r="H166" s="274">
        <f t="shared" si="6"/>
        <v>244901.87000000002</v>
      </c>
      <c r="I166" s="274">
        <f t="shared" si="6"/>
        <v>1439793.63</v>
      </c>
      <c r="J166" s="275">
        <f>J158+J164</f>
        <v>293260000</v>
      </c>
      <c r="K166" s="189">
        <f>D166*100/J166</f>
        <v>36.610142020732454</v>
      </c>
    </row>
    <row r="167" spans="1:11" ht="12.75">
      <c r="A167" s="230"/>
      <c r="B167" s="230"/>
      <c r="C167" s="230"/>
      <c r="D167" s="230"/>
      <c r="E167" s="247"/>
      <c r="F167" s="247"/>
      <c r="G167" s="246"/>
      <c r="H167" s="230"/>
      <c r="I167" s="230"/>
      <c r="J167" s="230"/>
      <c r="K167" s="145"/>
    </row>
    <row r="168" spans="1:11" ht="12.75">
      <c r="A168" s="230"/>
      <c r="B168" s="230"/>
      <c r="C168" s="230"/>
      <c r="D168" s="230"/>
      <c r="E168" s="247"/>
      <c r="F168" s="247"/>
      <c r="G168" s="246"/>
      <c r="H168" s="230"/>
      <c r="I168" s="230"/>
      <c r="J168" s="270"/>
      <c r="K168" s="18"/>
    </row>
    <row r="169" spans="1:11" ht="12.75">
      <c r="A169" s="230"/>
      <c r="B169" s="230"/>
      <c r="C169" s="272" t="s">
        <v>168</v>
      </c>
      <c r="D169" s="276">
        <f aca="true" t="shared" si="7" ref="D169:I169">D711-D158</f>
        <v>15545285.779999986</v>
      </c>
      <c r="E169" s="276">
        <f t="shared" si="7"/>
        <v>6466221.519999996</v>
      </c>
      <c r="F169" s="276">
        <f t="shared" si="7"/>
        <v>68319.99999999977</v>
      </c>
      <c r="G169" s="276">
        <f t="shared" si="7"/>
        <v>9288610.32</v>
      </c>
      <c r="H169" s="276">
        <f t="shared" si="7"/>
        <v>-85656.73000000001</v>
      </c>
      <c r="I169" s="276">
        <f t="shared" si="7"/>
        <v>-192209.32999999984</v>
      </c>
      <c r="J169" s="277"/>
      <c r="K169" s="18"/>
    </row>
    <row r="170" spans="1:11" ht="12.75">
      <c r="A170" s="230"/>
      <c r="B170" s="230"/>
      <c r="C170" s="230"/>
      <c r="D170" s="230"/>
      <c r="E170" s="247"/>
      <c r="F170" s="247"/>
      <c r="G170" s="246"/>
      <c r="H170" s="230"/>
      <c r="I170" s="230"/>
      <c r="J170" s="270"/>
      <c r="K170" s="18"/>
    </row>
    <row r="171" spans="1:10" ht="12.75">
      <c r="A171" s="230"/>
      <c r="B171" s="230"/>
      <c r="C171" s="230"/>
      <c r="D171" s="230"/>
      <c r="E171" s="247"/>
      <c r="F171" s="247"/>
      <c r="G171" s="246"/>
      <c r="H171" s="230"/>
      <c r="I171" s="230"/>
      <c r="J171" s="230"/>
    </row>
    <row r="172" spans="1:10" ht="12.75">
      <c r="A172" s="230"/>
      <c r="B172" s="230"/>
      <c r="C172" s="230"/>
      <c r="D172" s="230"/>
      <c r="E172" s="247"/>
      <c r="F172" s="247"/>
      <c r="G172" s="246"/>
      <c r="H172" s="230"/>
      <c r="I172" s="230"/>
      <c r="J172" s="230"/>
    </row>
    <row r="173" spans="1:10" ht="12.75">
      <c r="A173" s="230"/>
      <c r="B173" s="230"/>
      <c r="C173" s="230"/>
      <c r="D173" s="230"/>
      <c r="E173" s="247"/>
      <c r="F173" s="247"/>
      <c r="G173" s="246"/>
      <c r="H173" s="230"/>
      <c r="I173" s="230"/>
      <c r="J173" s="230"/>
    </row>
    <row r="174" spans="1:10" ht="12.75">
      <c r="A174" s="230"/>
      <c r="B174" s="230"/>
      <c r="C174" s="230"/>
      <c r="D174" s="230"/>
      <c r="E174" s="247"/>
      <c r="F174" s="247"/>
      <c r="G174" s="246"/>
      <c r="H174" s="230"/>
      <c r="I174" s="230"/>
      <c r="J174" s="230"/>
    </row>
    <row r="175" spans="1:10" ht="12.75">
      <c r="A175" s="230"/>
      <c r="B175" s="230"/>
      <c r="C175" s="230"/>
      <c r="D175" s="230"/>
      <c r="E175" s="247"/>
      <c r="F175" s="247"/>
      <c r="G175" s="246"/>
      <c r="H175" s="230"/>
      <c r="I175" s="230"/>
      <c r="J175" s="230"/>
    </row>
    <row r="176" spans="1:10" ht="12.75">
      <c r="A176" s="230"/>
      <c r="B176" s="230"/>
      <c r="C176" s="230"/>
      <c r="D176" s="231"/>
      <c r="E176" s="230"/>
      <c r="F176" s="230"/>
      <c r="G176" s="230"/>
      <c r="H176" s="230"/>
      <c r="I176" s="230"/>
      <c r="J176" s="230"/>
    </row>
    <row r="177" spans="1:11" ht="12.75">
      <c r="A177" s="231" t="s">
        <v>297</v>
      </c>
      <c r="B177" s="231"/>
      <c r="C177" s="231"/>
      <c r="D177" s="278"/>
      <c r="E177" s="278"/>
      <c r="F177" s="228"/>
      <c r="G177" s="231" t="s">
        <v>226</v>
      </c>
      <c r="H177" s="228"/>
      <c r="I177" s="228"/>
      <c r="J177" s="230"/>
      <c r="K177" s="27"/>
    </row>
    <row r="178" spans="1:11" ht="33.75">
      <c r="A178" s="232" t="s">
        <v>0</v>
      </c>
      <c r="B178" s="232" t="s">
        <v>208</v>
      </c>
      <c r="C178" s="232" t="s">
        <v>1</v>
      </c>
      <c r="D178" s="232" t="s">
        <v>197</v>
      </c>
      <c r="E178" s="232" t="s">
        <v>196</v>
      </c>
      <c r="F178" s="233" t="s">
        <v>170</v>
      </c>
      <c r="G178" s="279"/>
      <c r="H178" s="279"/>
      <c r="I178" s="279"/>
      <c r="J178" s="279"/>
      <c r="K178" s="124"/>
    </row>
    <row r="179" spans="1:11" ht="12.75">
      <c r="A179" s="237">
        <v>411111</v>
      </c>
      <c r="B179" s="239"/>
      <c r="C179" s="237" t="s">
        <v>8</v>
      </c>
      <c r="D179" s="238">
        <v>68087492.37</v>
      </c>
      <c r="E179" s="239"/>
      <c r="F179" s="239"/>
      <c r="G179" s="255"/>
      <c r="H179" s="255"/>
      <c r="I179" s="255"/>
      <c r="J179" s="246"/>
      <c r="K179" s="122"/>
    </row>
    <row r="180" spans="1:11" ht="12.75">
      <c r="A180" s="237">
        <v>411112</v>
      </c>
      <c r="B180" s="239"/>
      <c r="C180" s="237" t="s">
        <v>93</v>
      </c>
      <c r="D180" s="238">
        <v>701310.26</v>
      </c>
      <c r="E180" s="239"/>
      <c r="F180" s="239"/>
      <c r="G180" s="255"/>
      <c r="H180" s="255"/>
      <c r="I180" s="255"/>
      <c r="J180" s="246"/>
      <c r="K180" s="122"/>
    </row>
    <row r="181" spans="1:11" ht="12.75">
      <c r="A181" s="237">
        <v>411113</v>
      </c>
      <c r="B181" s="239"/>
      <c r="C181" s="237" t="s">
        <v>9</v>
      </c>
      <c r="D181" s="238">
        <v>320610.99</v>
      </c>
      <c r="E181" s="239"/>
      <c r="F181" s="239"/>
      <c r="G181" s="255"/>
      <c r="H181" s="255"/>
      <c r="I181" s="255"/>
      <c r="J181" s="246"/>
      <c r="K181" s="122"/>
    </row>
    <row r="182" spans="1:11" ht="12.75">
      <c r="A182" s="237">
        <v>411114</v>
      </c>
      <c r="B182" s="239"/>
      <c r="C182" s="237" t="s">
        <v>10</v>
      </c>
      <c r="D182" s="238">
        <v>435473.33</v>
      </c>
      <c r="E182" s="239"/>
      <c r="F182" s="239"/>
      <c r="G182" s="255"/>
      <c r="H182" s="255"/>
      <c r="I182" s="255"/>
      <c r="J182" s="246"/>
      <c r="K182" s="122"/>
    </row>
    <row r="183" spans="1:11" ht="12.75">
      <c r="A183" s="237">
        <v>411115</v>
      </c>
      <c r="B183" s="239"/>
      <c r="C183" s="237" t="s">
        <v>11</v>
      </c>
      <c r="D183" s="238">
        <v>4736398.51</v>
      </c>
      <c r="E183" s="239"/>
      <c r="F183" s="239"/>
      <c r="G183" s="255"/>
      <c r="H183" s="255"/>
      <c r="I183" s="255"/>
      <c r="J183" s="246"/>
      <c r="K183" s="122"/>
    </row>
    <row r="184" spans="1:11" ht="12.75">
      <c r="A184" s="237">
        <v>411117</v>
      </c>
      <c r="B184" s="239"/>
      <c r="C184" s="237" t="s">
        <v>12</v>
      </c>
      <c r="D184" s="238">
        <v>1012899.65</v>
      </c>
      <c r="E184" s="239"/>
      <c r="F184" s="239"/>
      <c r="G184" s="255"/>
      <c r="H184" s="255"/>
      <c r="I184" s="255"/>
      <c r="J184" s="246"/>
      <c r="K184" s="122"/>
    </row>
    <row r="185" spans="1:11" ht="12.75">
      <c r="A185" s="240">
        <v>4111</v>
      </c>
      <c r="B185" s="239"/>
      <c r="C185" s="240" t="s">
        <v>92</v>
      </c>
      <c r="D185" s="241">
        <f>SUM(D179:D184)</f>
        <v>75294185.11000001</v>
      </c>
      <c r="E185" s="239"/>
      <c r="F185" s="256"/>
      <c r="G185" s="245"/>
      <c r="H185" s="245"/>
      <c r="I185" s="245"/>
      <c r="J185" s="280"/>
      <c r="K185" s="125"/>
    </row>
    <row r="186" spans="1:11" ht="12.75">
      <c r="A186" s="237">
        <v>412111</v>
      </c>
      <c r="B186" s="239"/>
      <c r="C186" s="237" t="s">
        <v>13</v>
      </c>
      <c r="D186" s="238">
        <v>8303046.17</v>
      </c>
      <c r="E186" s="239"/>
      <c r="F186" s="239"/>
      <c r="G186" s="255"/>
      <c r="H186" s="255"/>
      <c r="I186" s="255"/>
      <c r="J186" s="246"/>
      <c r="K186" s="122"/>
    </row>
    <row r="187" spans="1:11" ht="12.75">
      <c r="A187" s="237">
        <v>412113</v>
      </c>
      <c r="B187" s="239"/>
      <c r="C187" s="237" t="s">
        <v>129</v>
      </c>
      <c r="D187" s="238"/>
      <c r="E187" s="239"/>
      <c r="F187" s="239"/>
      <c r="G187" s="255"/>
      <c r="H187" s="255"/>
      <c r="I187" s="255"/>
      <c r="J187" s="246"/>
      <c r="K187" s="122"/>
    </row>
    <row r="188" spans="1:11" ht="12.75">
      <c r="A188" s="240">
        <v>4121</v>
      </c>
      <c r="B188" s="239"/>
      <c r="C188" s="240" t="s">
        <v>94</v>
      </c>
      <c r="D188" s="241">
        <f>SUM(D186:D187)</f>
        <v>8303046.17</v>
      </c>
      <c r="E188" s="239"/>
      <c r="F188" s="256"/>
      <c r="G188" s="245"/>
      <c r="H188" s="245"/>
      <c r="I188" s="245"/>
      <c r="J188" s="246"/>
      <c r="K188" s="122"/>
    </row>
    <row r="189" spans="1:11" ht="12.75">
      <c r="A189" s="237">
        <v>412211</v>
      </c>
      <c r="B189" s="239"/>
      <c r="C189" s="237" t="s">
        <v>14</v>
      </c>
      <c r="D189" s="238">
        <v>4642157.63</v>
      </c>
      <c r="E189" s="239"/>
      <c r="F189" s="239"/>
      <c r="G189" s="255"/>
      <c r="H189" s="255"/>
      <c r="I189" s="255"/>
      <c r="J189" s="246"/>
      <c r="K189" s="122"/>
    </row>
    <row r="190" spans="1:11" ht="12.75">
      <c r="A190" s="240">
        <v>4122</v>
      </c>
      <c r="B190" s="239"/>
      <c r="C190" s="240" t="s">
        <v>14</v>
      </c>
      <c r="D190" s="241">
        <f>SUM(D189)</f>
        <v>4642157.63</v>
      </c>
      <c r="E190" s="239"/>
      <c r="F190" s="256"/>
      <c r="G190" s="245"/>
      <c r="H190" s="245"/>
      <c r="I190" s="245"/>
      <c r="J190" s="246"/>
      <c r="K190" s="122"/>
    </row>
    <row r="191" spans="1:11" ht="12.75">
      <c r="A191" s="237">
        <v>412311</v>
      </c>
      <c r="B191" s="239"/>
      <c r="C191" s="237" t="s">
        <v>95</v>
      </c>
      <c r="D191" s="238">
        <v>566116.77</v>
      </c>
      <c r="E191" s="239"/>
      <c r="F191" s="239"/>
      <c r="G191" s="255"/>
      <c r="H191" s="255"/>
      <c r="I191" s="255"/>
      <c r="J191" s="246"/>
      <c r="K191" s="122"/>
    </row>
    <row r="192" spans="1:11" ht="12.75">
      <c r="A192" s="240">
        <v>4123</v>
      </c>
      <c r="B192" s="239"/>
      <c r="C192" s="240" t="s">
        <v>96</v>
      </c>
      <c r="D192" s="241">
        <f>SUM(D191)</f>
        <v>566116.77</v>
      </c>
      <c r="E192" s="239"/>
      <c r="F192" s="256"/>
      <c r="G192" s="245"/>
      <c r="H192" s="245"/>
      <c r="I192" s="245"/>
      <c r="J192" s="246"/>
      <c r="K192" s="122"/>
    </row>
    <row r="193" spans="1:11" ht="12.75">
      <c r="A193" s="240"/>
      <c r="B193" s="242">
        <f>D193*100/99312441.37</f>
        <v>89.42032282656793</v>
      </c>
      <c r="C193" s="240" t="s">
        <v>174</v>
      </c>
      <c r="D193" s="274">
        <f>D192+D190+D188+D185</f>
        <v>88805505.68</v>
      </c>
      <c r="E193" s="242">
        <f>187186000+29034000</f>
        <v>216220000</v>
      </c>
      <c r="F193" s="242">
        <f>D193*100/E193</f>
        <v>41.07182762001665</v>
      </c>
      <c r="G193" s="245"/>
      <c r="H193" s="245"/>
      <c r="I193" s="245"/>
      <c r="J193" s="280"/>
      <c r="K193" s="125"/>
    </row>
    <row r="194" spans="1:11" ht="12.75">
      <c r="A194" s="237">
        <v>413151</v>
      </c>
      <c r="B194" s="242"/>
      <c r="C194" s="237" t="s">
        <v>15</v>
      </c>
      <c r="D194" s="238"/>
      <c r="E194" s="239"/>
      <c r="F194" s="242"/>
      <c r="G194" s="255"/>
      <c r="H194" s="255"/>
      <c r="I194" s="255"/>
      <c r="J194" s="246"/>
      <c r="K194" s="122"/>
    </row>
    <row r="195" spans="1:11" ht="12.75">
      <c r="A195" s="237">
        <v>415112</v>
      </c>
      <c r="B195" s="242"/>
      <c r="C195" s="237" t="s">
        <v>21</v>
      </c>
      <c r="D195" s="238">
        <v>1788736.09</v>
      </c>
      <c r="E195" s="239"/>
      <c r="F195" s="242"/>
      <c r="G195" s="255"/>
      <c r="H195" s="255"/>
      <c r="I195" s="255"/>
      <c r="J195" s="246"/>
      <c r="K195" s="122"/>
    </row>
    <row r="196" spans="1:11" ht="12.75">
      <c r="A196" s="240">
        <v>4131</v>
      </c>
      <c r="B196" s="242">
        <f>D196*100/99312441.37</f>
        <v>1.801119844930462</v>
      </c>
      <c r="C196" s="240" t="s">
        <v>295</v>
      </c>
      <c r="D196" s="274">
        <f>SUM(D194:D195)</f>
        <v>1788736.09</v>
      </c>
      <c r="E196" s="242">
        <v>4025000</v>
      </c>
      <c r="F196" s="242">
        <f>D196*100/E196</f>
        <v>44.44064819875776</v>
      </c>
      <c r="G196" s="245"/>
      <c r="H196" s="245"/>
      <c r="I196" s="245"/>
      <c r="J196" s="245"/>
      <c r="K196" s="113"/>
    </row>
    <row r="197" spans="1:11" ht="12.75">
      <c r="A197" s="240"/>
      <c r="B197" s="242">
        <f>D197*100/99312441.37</f>
        <v>3.7735130546615023</v>
      </c>
      <c r="C197" s="240" t="s">
        <v>179</v>
      </c>
      <c r="D197" s="241">
        <f>D200+D202+D205+D211+D227+D232+D234+D238+D241+D244+D246+D248+D250+D256+D269+D273+D275+D277+D281+D284+D290+D292+D296</f>
        <v>3747567.9400000004</v>
      </c>
      <c r="E197" s="242">
        <v>13692000</v>
      </c>
      <c r="F197" s="242">
        <f>D197*100/E197</f>
        <v>27.370493280747887</v>
      </c>
      <c r="G197" s="245"/>
      <c r="H197" s="245"/>
      <c r="I197" s="245"/>
      <c r="J197" s="245"/>
      <c r="K197" s="113"/>
    </row>
    <row r="198" spans="1:11" ht="12.75">
      <c r="A198" s="237">
        <v>414311</v>
      </c>
      <c r="B198" s="251"/>
      <c r="C198" s="237" t="s">
        <v>19</v>
      </c>
      <c r="D198" s="238">
        <v>163848</v>
      </c>
      <c r="E198" s="239"/>
      <c r="F198" s="242"/>
      <c r="G198" s="255"/>
      <c r="H198" s="255"/>
      <c r="I198" s="255"/>
      <c r="J198" s="246"/>
      <c r="K198" s="122"/>
    </row>
    <row r="199" spans="1:11" ht="12.75">
      <c r="A199" s="237">
        <v>414314</v>
      </c>
      <c r="B199" s="251"/>
      <c r="C199" s="237" t="s">
        <v>20</v>
      </c>
      <c r="D199" s="238"/>
      <c r="E199" s="239"/>
      <c r="F199" s="242"/>
      <c r="G199" s="255"/>
      <c r="H199" s="255"/>
      <c r="I199" s="255"/>
      <c r="J199" s="246"/>
      <c r="K199" s="122"/>
    </row>
    <row r="200" spans="1:11" ht="12.75">
      <c r="A200" s="240">
        <v>4143</v>
      </c>
      <c r="B200" s="251">
        <f>D200*100/3747567.94</f>
        <v>4.372115532613933</v>
      </c>
      <c r="C200" s="240" t="s">
        <v>99</v>
      </c>
      <c r="D200" s="241">
        <f>SUM(D198:D199)</f>
        <v>163848</v>
      </c>
      <c r="E200" s="239"/>
      <c r="F200" s="242"/>
      <c r="G200" s="245"/>
      <c r="H200" s="245"/>
      <c r="I200" s="245"/>
      <c r="J200" s="246"/>
      <c r="K200" s="122"/>
    </row>
    <row r="201" spans="1:11" ht="12.75">
      <c r="A201" s="237">
        <v>421111</v>
      </c>
      <c r="B201" s="251"/>
      <c r="C201" s="237" t="s">
        <v>22</v>
      </c>
      <c r="D201" s="238">
        <v>278481.54</v>
      </c>
      <c r="E201" s="239"/>
      <c r="F201" s="242"/>
      <c r="G201" s="255"/>
      <c r="H201" s="255"/>
      <c r="I201" s="255"/>
      <c r="J201" s="246"/>
      <c r="K201" s="122"/>
    </row>
    <row r="202" spans="1:11" ht="12.75">
      <c r="A202" s="240">
        <v>4211</v>
      </c>
      <c r="B202" s="251">
        <f>D202*100/3747567.94</f>
        <v>7.430993766052977</v>
      </c>
      <c r="C202" s="240" t="s">
        <v>101</v>
      </c>
      <c r="D202" s="241">
        <f>SUM(D201)</f>
        <v>278481.54</v>
      </c>
      <c r="E202" s="242">
        <v>400000</v>
      </c>
      <c r="F202" s="242">
        <f>D202*100/E202</f>
        <v>69.62038499999998</v>
      </c>
      <c r="G202" s="245"/>
      <c r="H202" s="245"/>
      <c r="I202" s="245"/>
      <c r="J202" s="280"/>
      <c r="K202" s="125"/>
    </row>
    <row r="203" spans="1:11" ht="12.75">
      <c r="A203" s="237">
        <v>421311</v>
      </c>
      <c r="B203" s="251"/>
      <c r="C203" s="237" t="s">
        <v>25</v>
      </c>
      <c r="D203" s="238">
        <f>115403.72+287554.6</f>
        <v>402958.31999999995</v>
      </c>
      <c r="E203" s="239"/>
      <c r="F203" s="242"/>
      <c r="G203" s="255"/>
      <c r="H203" s="255"/>
      <c r="I203" s="255"/>
      <c r="J203" s="246"/>
      <c r="K203" s="122"/>
    </row>
    <row r="204" spans="1:11" ht="12.75">
      <c r="A204" s="237">
        <v>421324</v>
      </c>
      <c r="B204" s="251"/>
      <c r="C204" s="237" t="s">
        <v>26</v>
      </c>
      <c r="D204" s="238">
        <v>173122.8</v>
      </c>
      <c r="E204" s="239"/>
      <c r="F204" s="242"/>
      <c r="G204" s="255"/>
      <c r="H204" s="255"/>
      <c r="I204" s="255"/>
      <c r="J204" s="246"/>
      <c r="K204" s="122"/>
    </row>
    <row r="205" spans="1:11" ht="12.75">
      <c r="A205" s="240">
        <v>4213</v>
      </c>
      <c r="B205" s="251">
        <f>D205*100/3747567.94</f>
        <v>15.372132786470573</v>
      </c>
      <c r="C205" s="240" t="s">
        <v>103</v>
      </c>
      <c r="D205" s="274">
        <f>SUM(D203:D204)</f>
        <v>576081.1199999999</v>
      </c>
      <c r="E205" s="242">
        <v>1150000</v>
      </c>
      <c r="F205" s="242">
        <f>D205*100/E205</f>
        <v>50.0940104347826</v>
      </c>
      <c r="G205" s="245"/>
      <c r="H205" s="245"/>
      <c r="I205" s="245"/>
      <c r="J205" s="280"/>
      <c r="K205" s="122"/>
    </row>
    <row r="206" spans="1:11" ht="12.75">
      <c r="A206" s="237">
        <v>421411</v>
      </c>
      <c r="B206" s="251"/>
      <c r="C206" s="237" t="s">
        <v>27</v>
      </c>
      <c r="D206" s="238">
        <v>34715.6</v>
      </c>
      <c r="E206" s="239"/>
      <c r="F206" s="242"/>
      <c r="G206" s="255"/>
      <c r="H206" s="255"/>
      <c r="I206" s="255"/>
      <c r="J206" s="246"/>
      <c r="K206" s="122"/>
    </row>
    <row r="207" spans="1:11" ht="12.75">
      <c r="A207" s="237">
        <v>421412</v>
      </c>
      <c r="B207" s="251"/>
      <c r="C207" s="237" t="s">
        <v>28</v>
      </c>
      <c r="D207" s="238"/>
      <c r="E207" s="239"/>
      <c r="F207" s="242"/>
      <c r="G207" s="255"/>
      <c r="H207" s="255"/>
      <c r="I207" s="255"/>
      <c r="J207" s="246"/>
      <c r="K207" s="122"/>
    </row>
    <row r="208" spans="1:11" ht="12.75">
      <c r="A208" s="237">
        <v>421414</v>
      </c>
      <c r="B208" s="251"/>
      <c r="C208" s="237" t="s">
        <v>29</v>
      </c>
      <c r="D208" s="238"/>
      <c r="E208" s="239"/>
      <c r="F208" s="242"/>
      <c r="G208" s="255"/>
      <c r="H208" s="255"/>
      <c r="I208" s="255"/>
      <c r="J208" s="246"/>
      <c r="K208" s="122"/>
    </row>
    <row r="209" spans="1:11" ht="12.75">
      <c r="A209" s="237">
        <v>421421</v>
      </c>
      <c r="B209" s="251"/>
      <c r="C209" s="237" t="s">
        <v>224</v>
      </c>
      <c r="D209" s="238">
        <v>8000</v>
      </c>
      <c r="E209" s="239"/>
      <c r="F209" s="242"/>
      <c r="G209" s="255"/>
      <c r="H209" s="255"/>
      <c r="I209" s="255"/>
      <c r="J209" s="246"/>
      <c r="K209" s="122"/>
    </row>
    <row r="210" spans="1:11" ht="12.75">
      <c r="A210" s="237">
        <v>421422</v>
      </c>
      <c r="B210" s="251"/>
      <c r="C210" s="237" t="s">
        <v>31</v>
      </c>
      <c r="D210" s="238">
        <v>44345</v>
      </c>
      <c r="E210" s="239"/>
      <c r="F210" s="242"/>
      <c r="G210" s="255"/>
      <c r="H210" s="255"/>
      <c r="I210" s="255"/>
      <c r="J210" s="246"/>
      <c r="K210" s="122"/>
    </row>
    <row r="211" spans="1:11" ht="12.75">
      <c r="A211" s="240">
        <v>4214</v>
      </c>
      <c r="B211" s="251">
        <f>D211*100/3747567.94</f>
        <v>2.323122659652169</v>
      </c>
      <c r="C211" s="240" t="s">
        <v>104</v>
      </c>
      <c r="D211" s="241">
        <f>SUM(D206:D210)</f>
        <v>87060.6</v>
      </c>
      <c r="E211" s="242">
        <v>600000</v>
      </c>
      <c r="F211" s="242">
        <f>D211*100/E211</f>
        <v>14.5101</v>
      </c>
      <c r="G211" s="245"/>
      <c r="H211" s="245"/>
      <c r="I211" s="245"/>
      <c r="J211" s="280"/>
      <c r="K211" s="122"/>
    </row>
    <row r="212" spans="1:11" ht="12.75">
      <c r="A212" s="244"/>
      <c r="B212" s="244"/>
      <c r="C212" s="244"/>
      <c r="D212" s="245"/>
      <c r="E212" s="246"/>
      <c r="F212" s="281"/>
      <c r="G212" s="245"/>
      <c r="H212" s="245"/>
      <c r="I212" s="245"/>
      <c r="J212" s="246"/>
      <c r="K212" s="122"/>
    </row>
    <row r="213" spans="1:11" ht="12.75">
      <c r="A213" s="244"/>
      <c r="B213" s="244"/>
      <c r="C213" s="244"/>
      <c r="D213" s="245"/>
      <c r="E213" s="246"/>
      <c r="F213" s="281"/>
      <c r="G213" s="245"/>
      <c r="H213" s="245"/>
      <c r="I213" s="245"/>
      <c r="J213" s="246"/>
      <c r="K213" s="122"/>
    </row>
    <row r="214" spans="1:11" ht="12.75">
      <c r="A214" s="244"/>
      <c r="B214" s="244"/>
      <c r="C214" s="244"/>
      <c r="D214" s="245"/>
      <c r="E214" s="246"/>
      <c r="F214" s="281"/>
      <c r="G214" s="245"/>
      <c r="H214" s="245"/>
      <c r="I214" s="245"/>
      <c r="J214" s="246"/>
      <c r="K214" s="122"/>
    </row>
    <row r="215" spans="1:11" ht="12.75">
      <c r="A215" s="244"/>
      <c r="B215" s="244"/>
      <c r="C215" s="244"/>
      <c r="D215" s="245"/>
      <c r="E215" s="246"/>
      <c r="F215" s="281"/>
      <c r="G215" s="245"/>
      <c r="H215" s="245"/>
      <c r="I215" s="245"/>
      <c r="J215" s="246"/>
      <c r="K215" s="122"/>
    </row>
    <row r="216" spans="1:11" ht="12.75">
      <c r="A216" s="244"/>
      <c r="B216" s="244"/>
      <c r="C216" s="244"/>
      <c r="D216" s="245"/>
      <c r="E216" s="246"/>
      <c r="F216" s="281"/>
      <c r="G216" s="245"/>
      <c r="H216" s="245"/>
      <c r="I216" s="245"/>
      <c r="J216" s="246"/>
      <c r="K216" s="122"/>
    </row>
    <row r="217" spans="1:11" ht="12.75">
      <c r="A217" s="244"/>
      <c r="B217" s="244"/>
      <c r="C217" s="244"/>
      <c r="D217" s="245"/>
      <c r="E217" s="246"/>
      <c r="F217" s="281"/>
      <c r="G217" s="245"/>
      <c r="H217" s="245"/>
      <c r="I217" s="245"/>
      <c r="J217" s="246"/>
      <c r="K217" s="122"/>
    </row>
    <row r="218" spans="1:11" ht="12.75">
      <c r="A218" s="244"/>
      <c r="B218" s="244"/>
      <c r="C218" s="244"/>
      <c r="D218" s="245"/>
      <c r="E218" s="246"/>
      <c r="F218" s="281"/>
      <c r="G218" s="245"/>
      <c r="H218" s="245"/>
      <c r="I218" s="245"/>
      <c r="J218" s="246"/>
      <c r="K218" s="122"/>
    </row>
    <row r="219" spans="1:11" ht="12.75">
      <c r="A219" s="244"/>
      <c r="B219" s="244"/>
      <c r="C219" s="244"/>
      <c r="D219" s="245"/>
      <c r="E219" s="246"/>
      <c r="F219" s="281"/>
      <c r="G219" s="245"/>
      <c r="H219" s="245"/>
      <c r="I219" s="245"/>
      <c r="J219" s="246"/>
      <c r="K219" s="122"/>
    </row>
    <row r="220" spans="1:11" ht="12.75">
      <c r="A220" s="244"/>
      <c r="B220" s="244"/>
      <c r="C220" s="244"/>
      <c r="D220" s="245"/>
      <c r="E220" s="281"/>
      <c r="F220" s="281"/>
      <c r="G220" s="245"/>
      <c r="H220" s="245"/>
      <c r="I220" s="245"/>
      <c r="J220" s="246"/>
      <c r="K220" s="122"/>
    </row>
    <row r="221" spans="1:11" ht="12.75">
      <c r="A221" s="231" t="s">
        <v>297</v>
      </c>
      <c r="B221" s="231"/>
      <c r="C221" s="231"/>
      <c r="D221" s="278"/>
      <c r="E221" s="278"/>
      <c r="F221" s="228"/>
      <c r="G221" s="231" t="s">
        <v>227</v>
      </c>
      <c r="H221" s="245"/>
      <c r="I221" s="245"/>
      <c r="J221" s="246"/>
      <c r="K221" s="122"/>
    </row>
    <row r="222" spans="1:11" ht="33.75">
      <c r="A222" s="232" t="s">
        <v>0</v>
      </c>
      <c r="B222" s="232" t="s">
        <v>208</v>
      </c>
      <c r="C222" s="232" t="s">
        <v>1</v>
      </c>
      <c r="D222" s="232" t="s">
        <v>197</v>
      </c>
      <c r="E222" s="260" t="s">
        <v>196</v>
      </c>
      <c r="F222" s="282" t="s">
        <v>170</v>
      </c>
      <c r="G222" s="279"/>
      <c r="H222" s="279"/>
      <c r="I222" s="279"/>
      <c r="J222" s="283"/>
      <c r="K222" s="127"/>
    </row>
    <row r="223" spans="1:11" ht="12.75">
      <c r="A223" s="237">
        <v>421512</v>
      </c>
      <c r="B223" s="284"/>
      <c r="C223" s="237" t="s">
        <v>32</v>
      </c>
      <c r="D223" s="238">
        <v>117929.28</v>
      </c>
      <c r="E223" s="239">
        <v>130000</v>
      </c>
      <c r="F223" s="239">
        <f>D223*100/E223</f>
        <v>90.71483076923077</v>
      </c>
      <c r="G223" s="255"/>
      <c r="H223" s="255"/>
      <c r="I223" s="255"/>
      <c r="J223" s="246"/>
      <c r="K223" s="92"/>
    </row>
    <row r="224" spans="1:11" ht="12.75">
      <c r="A224" s="237">
        <v>421513</v>
      </c>
      <c r="B224" s="284"/>
      <c r="C224" s="237" t="s">
        <v>33</v>
      </c>
      <c r="D224" s="238">
        <v>175635.68</v>
      </c>
      <c r="E224" s="239"/>
      <c r="F224" s="239"/>
      <c r="G224" s="255"/>
      <c r="H224" s="255"/>
      <c r="I224" s="255"/>
      <c r="J224" s="246"/>
      <c r="K224" s="92"/>
    </row>
    <row r="225" spans="1:11" ht="12.75">
      <c r="A225" s="237">
        <v>421519</v>
      </c>
      <c r="B225" s="284"/>
      <c r="C225" s="237" t="s">
        <v>34</v>
      </c>
      <c r="D225" s="238">
        <v>458165.39</v>
      </c>
      <c r="E225" s="239">
        <v>1860000</v>
      </c>
      <c r="F225" s="239">
        <f>D225*100/E225</f>
        <v>24.632547849462366</v>
      </c>
      <c r="G225" s="255"/>
      <c r="H225" s="255"/>
      <c r="I225" s="255"/>
      <c r="J225" s="246"/>
      <c r="K225" s="92"/>
    </row>
    <row r="226" spans="1:11" ht="12.75">
      <c r="A226" s="237">
        <v>421521</v>
      </c>
      <c r="B226" s="284"/>
      <c r="C226" s="237" t="s">
        <v>35</v>
      </c>
      <c r="D226" s="238">
        <v>36468</v>
      </c>
      <c r="E226" s="239">
        <v>220000</v>
      </c>
      <c r="F226" s="239">
        <f>D226*100/E226</f>
        <v>16.576363636363638</v>
      </c>
      <c r="G226" s="255"/>
      <c r="H226" s="255"/>
      <c r="I226" s="255"/>
      <c r="J226" s="246"/>
      <c r="K226" s="92"/>
    </row>
    <row r="227" spans="1:11" ht="12.75">
      <c r="A227" s="240">
        <v>4215</v>
      </c>
      <c r="B227" s="251">
        <f>D227*100/3747567.94</f>
        <v>21.032263126896108</v>
      </c>
      <c r="C227" s="240" t="s">
        <v>169</v>
      </c>
      <c r="D227" s="241">
        <f>SUM(D223:D226)</f>
        <v>788198.35</v>
      </c>
      <c r="E227" s="242">
        <f>SUM(E223:E226)</f>
        <v>2210000</v>
      </c>
      <c r="F227" s="242">
        <f>D227*100/E227</f>
        <v>35.66508371040724</v>
      </c>
      <c r="G227" s="245"/>
      <c r="H227" s="245"/>
      <c r="I227" s="245"/>
      <c r="J227" s="280"/>
      <c r="K227" s="92"/>
    </row>
    <row r="228" spans="1:11" ht="12.75">
      <c r="A228" s="237">
        <v>422111</v>
      </c>
      <c r="B228" s="251"/>
      <c r="C228" s="237" t="s">
        <v>36</v>
      </c>
      <c r="D228" s="238"/>
      <c r="E228" s="239"/>
      <c r="F228" s="239"/>
      <c r="G228" s="255"/>
      <c r="H228" s="255"/>
      <c r="I228" s="255"/>
      <c r="J228" s="246"/>
      <c r="K228" s="92"/>
    </row>
    <row r="229" spans="1:11" ht="12.75">
      <c r="A229" s="237">
        <v>422121</v>
      </c>
      <c r="B229" s="251"/>
      <c r="C229" s="237" t="s">
        <v>37</v>
      </c>
      <c r="D229" s="238"/>
      <c r="E229" s="239"/>
      <c r="F229" s="239"/>
      <c r="G229" s="255"/>
      <c r="H229" s="255"/>
      <c r="I229" s="255"/>
      <c r="J229" s="246"/>
      <c r="K229" s="92"/>
    </row>
    <row r="230" spans="1:11" ht="12.75">
      <c r="A230" s="237">
        <v>422194</v>
      </c>
      <c r="B230" s="251"/>
      <c r="C230" s="237" t="s">
        <v>38</v>
      </c>
      <c r="D230" s="238"/>
      <c r="E230" s="239"/>
      <c r="F230" s="239"/>
      <c r="G230" s="255"/>
      <c r="H230" s="255"/>
      <c r="I230" s="255"/>
      <c r="J230" s="246"/>
      <c r="K230" s="92"/>
    </row>
    <row r="231" spans="1:11" ht="12.75">
      <c r="A231" s="237">
        <v>422199</v>
      </c>
      <c r="B231" s="251"/>
      <c r="C231" s="237" t="s">
        <v>39</v>
      </c>
      <c r="D231" s="238"/>
      <c r="E231" s="239"/>
      <c r="F231" s="239"/>
      <c r="G231" s="255"/>
      <c r="H231" s="255"/>
      <c r="I231" s="255"/>
      <c r="J231" s="246"/>
      <c r="K231" s="92"/>
    </row>
    <row r="232" spans="1:11" ht="12.75">
      <c r="A232" s="240">
        <v>4221</v>
      </c>
      <c r="B232" s="251">
        <f>D232*100/3747567.94</f>
        <v>0</v>
      </c>
      <c r="C232" s="240" t="s">
        <v>105</v>
      </c>
      <c r="D232" s="241"/>
      <c r="E232" s="239"/>
      <c r="F232" s="256"/>
      <c r="G232" s="245"/>
      <c r="H232" s="245"/>
      <c r="I232" s="245"/>
      <c r="J232" s="246"/>
      <c r="K232" s="92"/>
    </row>
    <row r="233" spans="1:11" ht="12.75">
      <c r="A233" s="237">
        <v>423291</v>
      </c>
      <c r="B233" s="251"/>
      <c r="C233" s="237" t="s">
        <v>40</v>
      </c>
      <c r="D233" s="238">
        <v>45148</v>
      </c>
      <c r="E233" s="239"/>
      <c r="F233" s="239"/>
      <c r="G233" s="255"/>
      <c r="H233" s="255"/>
      <c r="I233" s="255"/>
      <c r="J233" s="246"/>
      <c r="K233" s="92"/>
    </row>
    <row r="234" spans="1:11" ht="12.75">
      <c r="A234" s="240">
        <v>4232</v>
      </c>
      <c r="B234" s="251">
        <f>D234*100/3747567.94</f>
        <v>1.2047279922028578</v>
      </c>
      <c r="C234" s="240" t="s">
        <v>106</v>
      </c>
      <c r="D234" s="241">
        <f>SUM(D233)</f>
        <v>45148</v>
      </c>
      <c r="E234" s="242">
        <v>100000</v>
      </c>
      <c r="F234" s="242">
        <f>D234*100/E234</f>
        <v>45.148</v>
      </c>
      <c r="G234" s="245"/>
      <c r="H234" s="245"/>
      <c r="I234" s="245"/>
      <c r="J234" s="280"/>
      <c r="K234" s="92"/>
    </row>
    <row r="235" spans="1:11" ht="12.75">
      <c r="A235" s="237">
        <v>423311</v>
      </c>
      <c r="B235" s="251"/>
      <c r="C235" s="237" t="s">
        <v>42</v>
      </c>
      <c r="D235" s="238"/>
      <c r="E235" s="239"/>
      <c r="F235" s="239"/>
      <c r="G235" s="255"/>
      <c r="H235" s="255"/>
      <c r="I235" s="255"/>
      <c r="J235" s="246"/>
      <c r="K235" s="92"/>
    </row>
    <row r="236" spans="1:11" ht="12.75">
      <c r="A236" s="237">
        <v>423321</v>
      </c>
      <c r="B236" s="251"/>
      <c r="C236" s="237" t="s">
        <v>41</v>
      </c>
      <c r="D236" s="238"/>
      <c r="E236" s="239"/>
      <c r="F236" s="239"/>
      <c r="G236" s="255"/>
      <c r="H236" s="255"/>
      <c r="I236" s="255"/>
      <c r="J236" s="246"/>
      <c r="K236" s="92"/>
    </row>
    <row r="237" spans="1:11" ht="12.75">
      <c r="A237" s="237">
        <v>4233910</v>
      </c>
      <c r="B237" s="251"/>
      <c r="C237" s="237" t="s">
        <v>130</v>
      </c>
      <c r="D237" s="238"/>
      <c r="E237" s="239"/>
      <c r="F237" s="239"/>
      <c r="G237" s="255"/>
      <c r="H237" s="255"/>
      <c r="I237" s="255"/>
      <c r="J237" s="246"/>
      <c r="K237" s="92"/>
    </row>
    <row r="238" spans="1:11" ht="12.75">
      <c r="A238" s="240">
        <v>4233</v>
      </c>
      <c r="B238" s="251"/>
      <c r="C238" s="240" t="s">
        <v>107</v>
      </c>
      <c r="D238" s="241"/>
      <c r="E238" s="239"/>
      <c r="F238" s="256"/>
      <c r="G238" s="245"/>
      <c r="H238" s="245"/>
      <c r="I238" s="245"/>
      <c r="J238" s="246"/>
      <c r="K238" s="92"/>
    </row>
    <row r="239" spans="1:11" ht="12.75">
      <c r="A239" s="237">
        <v>423421</v>
      </c>
      <c r="B239" s="251"/>
      <c r="C239" s="237" t="s">
        <v>43</v>
      </c>
      <c r="D239" s="238"/>
      <c r="E239" s="239"/>
      <c r="F239" s="239"/>
      <c r="G239" s="255"/>
      <c r="H239" s="255"/>
      <c r="I239" s="255"/>
      <c r="J239" s="246"/>
      <c r="K239" s="92"/>
    </row>
    <row r="240" spans="1:11" ht="12.75">
      <c r="A240" s="252">
        <v>423432</v>
      </c>
      <c r="B240" s="251"/>
      <c r="C240" s="252" t="s">
        <v>44</v>
      </c>
      <c r="D240" s="253"/>
      <c r="E240" s="239"/>
      <c r="F240" s="239"/>
      <c r="G240" s="255"/>
      <c r="H240" s="255"/>
      <c r="I240" s="255"/>
      <c r="J240" s="246"/>
      <c r="K240" s="92"/>
    </row>
    <row r="241" spans="1:11" ht="12.75">
      <c r="A241" s="240">
        <v>4234</v>
      </c>
      <c r="B241" s="251"/>
      <c r="C241" s="240" t="s">
        <v>108</v>
      </c>
      <c r="D241" s="241"/>
      <c r="E241" s="239"/>
      <c r="F241" s="256"/>
      <c r="G241" s="245"/>
      <c r="H241" s="245"/>
      <c r="I241" s="245"/>
      <c r="J241" s="246"/>
      <c r="K241" s="92"/>
    </row>
    <row r="242" spans="1:11" ht="12.75">
      <c r="A242" s="237">
        <v>423539</v>
      </c>
      <c r="B242" s="251"/>
      <c r="C242" s="237" t="s">
        <v>131</v>
      </c>
      <c r="D242" s="238"/>
      <c r="E242" s="239"/>
      <c r="F242" s="239"/>
      <c r="G242" s="255"/>
      <c r="H242" s="255"/>
      <c r="I242" s="255"/>
      <c r="J242" s="246"/>
      <c r="K242" s="92"/>
    </row>
    <row r="243" spans="1:11" ht="12.75">
      <c r="A243" s="237">
        <v>423599</v>
      </c>
      <c r="B243" s="251"/>
      <c r="C243" s="237" t="s">
        <v>45</v>
      </c>
      <c r="D243" s="238"/>
      <c r="E243" s="239">
        <v>50000</v>
      </c>
      <c r="F243" s="239"/>
      <c r="G243" s="255"/>
      <c r="H243" s="255"/>
      <c r="I243" s="255"/>
      <c r="J243" s="246"/>
      <c r="K243" s="92"/>
    </row>
    <row r="244" spans="1:11" ht="12.75">
      <c r="A244" s="240">
        <v>4235</v>
      </c>
      <c r="B244" s="251"/>
      <c r="C244" s="240" t="s">
        <v>109</v>
      </c>
      <c r="D244" s="241"/>
      <c r="E244" s="242">
        <f>SUM(E243)</f>
        <v>50000</v>
      </c>
      <c r="F244" s="251"/>
      <c r="G244" s="245"/>
      <c r="H244" s="245"/>
      <c r="I244" s="245"/>
      <c r="J244" s="246"/>
      <c r="K244" s="92"/>
    </row>
    <row r="245" spans="1:11" ht="12.75">
      <c r="A245" s="237">
        <v>423611</v>
      </c>
      <c r="B245" s="251"/>
      <c r="C245" s="237" t="s">
        <v>46</v>
      </c>
      <c r="D245" s="238">
        <v>612933.3</v>
      </c>
      <c r="E245" s="239">
        <v>2800000</v>
      </c>
      <c r="F245" s="239"/>
      <c r="G245" s="255"/>
      <c r="H245" s="255"/>
      <c r="I245" s="255"/>
      <c r="J245" s="246"/>
      <c r="K245" s="92"/>
    </row>
    <row r="246" spans="1:11" ht="12.75">
      <c r="A246" s="240">
        <v>4236</v>
      </c>
      <c r="B246" s="251">
        <f>D246*100/3747567.94</f>
        <v>16.35549534560273</v>
      </c>
      <c r="C246" s="240" t="s">
        <v>110</v>
      </c>
      <c r="D246" s="241">
        <f>SUM(D245)</f>
        <v>612933.3</v>
      </c>
      <c r="E246" s="242">
        <f>SUM(E245)</f>
        <v>2800000</v>
      </c>
      <c r="F246" s="242">
        <f>D246*100/E246</f>
        <v>21.890475000000002</v>
      </c>
      <c r="G246" s="245"/>
      <c r="H246" s="245"/>
      <c r="I246" s="245"/>
      <c r="J246" s="280"/>
      <c r="K246" s="92"/>
    </row>
    <row r="247" spans="1:11" ht="12.75">
      <c r="A247" s="237">
        <v>423711</v>
      </c>
      <c r="B247" s="251"/>
      <c r="C247" s="237" t="s">
        <v>47</v>
      </c>
      <c r="D247" s="238"/>
      <c r="E247" s="239"/>
      <c r="F247" s="239"/>
      <c r="G247" s="255"/>
      <c r="H247" s="255"/>
      <c r="I247" s="255"/>
      <c r="J247" s="246"/>
      <c r="K247" s="92"/>
    </row>
    <row r="248" spans="1:11" ht="12.75">
      <c r="A248" s="240">
        <v>4237</v>
      </c>
      <c r="B248" s="251"/>
      <c r="C248" s="240" t="s">
        <v>47</v>
      </c>
      <c r="D248" s="241"/>
      <c r="E248" s="239"/>
      <c r="F248" s="256"/>
      <c r="G248" s="245"/>
      <c r="H248" s="245"/>
      <c r="I248" s="245"/>
      <c r="J248" s="246"/>
      <c r="K248" s="92"/>
    </row>
    <row r="249" spans="1:11" ht="12.75">
      <c r="A249" s="237">
        <v>423911</v>
      </c>
      <c r="B249" s="251"/>
      <c r="C249" s="237" t="s">
        <v>48</v>
      </c>
      <c r="D249" s="238">
        <v>26048</v>
      </c>
      <c r="E249" s="239"/>
      <c r="F249" s="239"/>
      <c r="G249" s="255"/>
      <c r="H249" s="255"/>
      <c r="I249" s="255"/>
      <c r="J249" s="246"/>
      <c r="K249" s="92"/>
    </row>
    <row r="250" spans="1:11" ht="12.75">
      <c r="A250" s="240">
        <v>4239</v>
      </c>
      <c r="B250" s="251">
        <f>D250*100/3747567.94</f>
        <v>0.6950641167028448</v>
      </c>
      <c r="C250" s="240" t="s">
        <v>48</v>
      </c>
      <c r="D250" s="241">
        <f>SUM(D249)</f>
        <v>26048</v>
      </c>
      <c r="E250" s="242">
        <v>150000</v>
      </c>
      <c r="F250" s="242">
        <f>D250*100/E250</f>
        <v>17.365333333333332</v>
      </c>
      <c r="G250" s="245"/>
      <c r="H250" s="245"/>
      <c r="I250" s="245"/>
      <c r="J250" s="280"/>
      <c r="K250" s="92"/>
    </row>
    <row r="251" spans="1:11" ht="12.75">
      <c r="A251" s="237">
        <v>424351</v>
      </c>
      <c r="B251" s="251"/>
      <c r="C251" s="237" t="s">
        <v>49</v>
      </c>
      <c r="D251" s="238"/>
      <c r="E251" s="239"/>
      <c r="F251" s="242"/>
      <c r="G251" s="255"/>
      <c r="H251" s="255"/>
      <c r="I251" s="255"/>
      <c r="J251" s="246"/>
      <c r="K251" s="92"/>
    </row>
    <row r="252" spans="1:11" ht="12.75">
      <c r="A252" s="240">
        <v>4243</v>
      </c>
      <c r="B252" s="251"/>
      <c r="C252" s="240" t="s">
        <v>111</v>
      </c>
      <c r="D252" s="285"/>
      <c r="E252" s="242">
        <v>120000</v>
      </c>
      <c r="F252" s="242">
        <f>D252*100/E252</f>
        <v>0</v>
      </c>
      <c r="G252" s="245"/>
      <c r="H252" s="245"/>
      <c r="I252" s="245"/>
      <c r="J252" s="280"/>
      <c r="K252" s="92"/>
    </row>
    <row r="253" spans="1:11" ht="12.75">
      <c r="A253" s="237">
        <v>425112</v>
      </c>
      <c r="B253" s="251"/>
      <c r="C253" s="237" t="s">
        <v>50</v>
      </c>
      <c r="D253" s="238">
        <v>10358.04</v>
      </c>
      <c r="E253" s="239"/>
      <c r="F253" s="242"/>
      <c r="G253" s="255"/>
      <c r="H253" s="255"/>
      <c r="I253" s="255"/>
      <c r="J253" s="246"/>
      <c r="K253" s="92"/>
    </row>
    <row r="254" spans="1:11" ht="12.75">
      <c r="A254" s="237">
        <v>425115</v>
      </c>
      <c r="B254" s="251"/>
      <c r="C254" s="237" t="s">
        <v>51</v>
      </c>
      <c r="D254" s="238">
        <v>11145.1</v>
      </c>
      <c r="E254" s="239"/>
      <c r="F254" s="242"/>
      <c r="G254" s="255"/>
      <c r="H254" s="255"/>
      <c r="I254" s="255"/>
      <c r="J254" s="246"/>
      <c r="K254" s="92"/>
    </row>
    <row r="255" spans="1:11" ht="12.75">
      <c r="A255" s="237">
        <v>425117</v>
      </c>
      <c r="B255" s="251"/>
      <c r="C255" s="237" t="s">
        <v>52</v>
      </c>
      <c r="D255" s="238">
        <v>15361</v>
      </c>
      <c r="E255" s="239"/>
      <c r="F255" s="242"/>
      <c r="G255" s="255"/>
      <c r="H255" s="255"/>
      <c r="I255" s="255"/>
      <c r="J255" s="246"/>
      <c r="K255" s="92"/>
    </row>
    <row r="256" spans="1:11" ht="12.75">
      <c r="A256" s="240">
        <v>4251</v>
      </c>
      <c r="B256" s="251">
        <f>D256*100/3747567.94</f>
        <v>0.9836816994437197</v>
      </c>
      <c r="C256" s="240" t="s">
        <v>112</v>
      </c>
      <c r="D256" s="241">
        <f>SUM(D251:D255)</f>
        <v>36864.14</v>
      </c>
      <c r="E256" s="242">
        <v>162000</v>
      </c>
      <c r="F256" s="242">
        <f>D256*100/E256</f>
        <v>22.75564197530864</v>
      </c>
      <c r="G256" s="245"/>
      <c r="H256" s="245"/>
      <c r="I256" s="245"/>
      <c r="J256" s="280"/>
      <c r="K256" s="92"/>
    </row>
    <row r="257" spans="1:11" ht="12.75">
      <c r="A257" s="237">
        <v>425211</v>
      </c>
      <c r="B257" s="251"/>
      <c r="C257" s="237" t="s">
        <v>53</v>
      </c>
      <c r="D257" s="238">
        <v>18172</v>
      </c>
      <c r="E257" s="239">
        <v>750000</v>
      </c>
      <c r="F257" s="239"/>
      <c r="G257" s="255"/>
      <c r="H257" s="255"/>
      <c r="I257" s="255"/>
      <c r="J257" s="246"/>
      <c r="K257" s="92"/>
    </row>
    <row r="258" spans="1:11" ht="12.75">
      <c r="A258" s="237">
        <v>425212</v>
      </c>
      <c r="B258" s="251"/>
      <c r="C258" s="237" t="s">
        <v>54</v>
      </c>
      <c r="D258" s="238"/>
      <c r="E258" s="239">
        <v>600000</v>
      </c>
      <c r="F258" s="239"/>
      <c r="G258" s="255"/>
      <c r="H258" s="255"/>
      <c r="I258" s="255"/>
      <c r="J258" s="246"/>
      <c r="K258" s="92"/>
    </row>
    <row r="259" spans="1:11" ht="12.75">
      <c r="A259" s="237">
        <v>425213</v>
      </c>
      <c r="B259" s="251"/>
      <c r="C259" s="237" t="s">
        <v>55</v>
      </c>
      <c r="D259" s="238"/>
      <c r="E259" s="239"/>
      <c r="F259" s="239"/>
      <c r="G259" s="255"/>
      <c r="H259" s="255"/>
      <c r="I259" s="255"/>
      <c r="J259" s="246"/>
      <c r="K259" s="92"/>
    </row>
    <row r="260" spans="1:11" ht="12.75">
      <c r="A260" s="237">
        <v>425222</v>
      </c>
      <c r="B260" s="251"/>
      <c r="C260" s="237" t="s">
        <v>56</v>
      </c>
      <c r="D260" s="238">
        <v>44185</v>
      </c>
      <c r="E260" s="239"/>
      <c r="F260" s="239"/>
      <c r="G260" s="255"/>
      <c r="H260" s="255"/>
      <c r="I260" s="255"/>
      <c r="J260" s="246"/>
      <c r="K260" s="92"/>
    </row>
    <row r="261" spans="1:11" ht="12.75">
      <c r="A261" s="237">
        <v>425223</v>
      </c>
      <c r="B261" s="251"/>
      <c r="C261" s="237" t="s">
        <v>57</v>
      </c>
      <c r="D261" s="238">
        <v>38550</v>
      </c>
      <c r="E261" s="239"/>
      <c r="F261" s="239"/>
      <c r="G261" s="255"/>
      <c r="H261" s="255"/>
      <c r="I261" s="255"/>
      <c r="J261" s="246"/>
      <c r="K261" s="92"/>
    </row>
    <row r="262" spans="1:11" ht="12.75">
      <c r="A262" s="237">
        <v>425225</v>
      </c>
      <c r="B262" s="251"/>
      <c r="C262" s="237" t="s">
        <v>58</v>
      </c>
      <c r="D262" s="238"/>
      <c r="E262" s="239"/>
      <c r="F262" s="239"/>
      <c r="G262" s="255"/>
      <c r="H262" s="255"/>
      <c r="I262" s="255"/>
      <c r="J262" s="246"/>
      <c r="K262" s="92"/>
    </row>
    <row r="263" spans="1:11" ht="12.75">
      <c r="A263" s="237">
        <v>425251</v>
      </c>
      <c r="B263" s="251"/>
      <c r="C263" s="237" t="s">
        <v>59</v>
      </c>
      <c r="D263" s="238"/>
      <c r="E263" s="239">
        <v>850000</v>
      </c>
      <c r="F263" s="239"/>
      <c r="G263" s="255"/>
      <c r="H263" s="255"/>
      <c r="I263" s="255"/>
      <c r="J263" s="246"/>
      <c r="K263" s="92"/>
    </row>
    <row r="264" spans="1:11" ht="12.75">
      <c r="A264" s="237">
        <v>425252</v>
      </c>
      <c r="B264" s="251"/>
      <c r="C264" s="237" t="s">
        <v>60</v>
      </c>
      <c r="D264" s="238"/>
      <c r="E264" s="239"/>
      <c r="F264" s="239"/>
      <c r="G264" s="255"/>
      <c r="H264" s="255"/>
      <c r="I264" s="255"/>
      <c r="J264" s="246"/>
      <c r="K264" s="92"/>
    </row>
    <row r="265" spans="1:11" ht="12.75">
      <c r="A265" s="231" t="s">
        <v>297</v>
      </c>
      <c r="B265" s="231"/>
      <c r="C265" s="231"/>
      <c r="D265" s="278"/>
      <c r="E265" s="278"/>
      <c r="F265" s="228"/>
      <c r="G265" s="231" t="s">
        <v>228</v>
      </c>
      <c r="H265" s="245"/>
      <c r="I265" s="245"/>
      <c r="J265" s="246"/>
      <c r="K265" s="92"/>
    </row>
    <row r="266" spans="1:11" ht="33.75">
      <c r="A266" s="232" t="s">
        <v>0</v>
      </c>
      <c r="B266" s="232" t="s">
        <v>208</v>
      </c>
      <c r="C266" s="232" t="s">
        <v>1</v>
      </c>
      <c r="D266" s="232" t="s">
        <v>197</v>
      </c>
      <c r="E266" s="260" t="s">
        <v>196</v>
      </c>
      <c r="F266" s="282" t="s">
        <v>170</v>
      </c>
      <c r="G266" s="279"/>
      <c r="H266" s="279"/>
      <c r="I266" s="279"/>
      <c r="J266" s="283"/>
      <c r="K266" s="127"/>
    </row>
    <row r="267" spans="1:11" ht="12.75">
      <c r="A267" s="237">
        <v>425281</v>
      </c>
      <c r="B267" s="237"/>
      <c r="C267" s="237" t="s">
        <v>61</v>
      </c>
      <c r="D267" s="286">
        <v>3524</v>
      </c>
      <c r="E267" s="239"/>
      <c r="F267" s="239"/>
      <c r="G267" s="255"/>
      <c r="H267" s="255"/>
      <c r="I267" s="255"/>
      <c r="J267" s="246"/>
      <c r="K267" s="92"/>
    </row>
    <row r="268" spans="1:11" ht="12.75">
      <c r="A268" s="237">
        <v>425291</v>
      </c>
      <c r="B268" s="237"/>
      <c r="C268" s="237" t="s">
        <v>62</v>
      </c>
      <c r="D268" s="286">
        <v>53686.8</v>
      </c>
      <c r="E268" s="239"/>
      <c r="F268" s="239"/>
      <c r="G268" s="255"/>
      <c r="H268" s="255"/>
      <c r="I268" s="255"/>
      <c r="J268" s="246"/>
      <c r="K268" s="92"/>
    </row>
    <row r="269" spans="1:11" ht="12.75">
      <c r="A269" s="240">
        <v>4252</v>
      </c>
      <c r="B269" s="251">
        <f>D269*100/3747567.94</f>
        <v>4.219211033169421</v>
      </c>
      <c r="C269" s="240" t="s">
        <v>113</v>
      </c>
      <c r="D269" s="287">
        <f>D257+D258+D259+D260+D261+D262+D263+D264+D267+D268</f>
        <v>158117.8</v>
      </c>
      <c r="E269" s="242">
        <f>E257+E258+E259+E260+E261+E262+E263+E264+E267+E268</f>
        <v>2200000</v>
      </c>
      <c r="F269" s="242">
        <f>D269*100/E269</f>
        <v>7.187172727272727</v>
      </c>
      <c r="G269" s="245"/>
      <c r="H269" s="245"/>
      <c r="I269" s="245"/>
      <c r="J269" s="280"/>
      <c r="K269" s="92"/>
    </row>
    <row r="270" spans="1:11" ht="12.75">
      <c r="A270" s="237">
        <v>426111</v>
      </c>
      <c r="B270" s="251"/>
      <c r="C270" s="237" t="s">
        <v>63</v>
      </c>
      <c r="D270" s="286">
        <v>439441.28</v>
      </c>
      <c r="E270" s="239"/>
      <c r="F270" s="239"/>
      <c r="G270" s="255"/>
      <c r="H270" s="255"/>
      <c r="I270" s="255"/>
      <c r="J270" s="246"/>
      <c r="K270" s="92"/>
    </row>
    <row r="271" spans="1:11" ht="12.75">
      <c r="A271" s="237">
        <v>426121</v>
      </c>
      <c r="B271" s="251"/>
      <c r="C271" s="237" t="s">
        <v>132</v>
      </c>
      <c r="D271" s="286">
        <v>8484.2</v>
      </c>
      <c r="E271" s="239"/>
      <c r="F271" s="239"/>
      <c r="G271" s="255"/>
      <c r="H271" s="255"/>
      <c r="I271" s="255"/>
      <c r="J271" s="246"/>
      <c r="K271" s="92"/>
    </row>
    <row r="272" spans="1:11" ht="12.75">
      <c r="A272" s="237">
        <v>426129</v>
      </c>
      <c r="B272" s="251"/>
      <c r="C272" s="237" t="s">
        <v>64</v>
      </c>
      <c r="D272" s="286">
        <v>5392.6</v>
      </c>
      <c r="E272" s="239"/>
      <c r="F272" s="239"/>
      <c r="G272" s="255"/>
      <c r="H272" s="255"/>
      <c r="I272" s="255"/>
      <c r="J272" s="246"/>
      <c r="K272" s="92"/>
    </row>
    <row r="273" spans="1:11" ht="12.75">
      <c r="A273" s="240">
        <v>4261</v>
      </c>
      <c r="B273" s="251">
        <f aca="true" t="shared" si="8" ref="B273:B296">D273*100/3747567.94</f>
        <v>12.096327198273556</v>
      </c>
      <c r="C273" s="240" t="s">
        <v>114</v>
      </c>
      <c r="D273" s="287">
        <f>SUM(D270:D272)</f>
        <v>453318.08</v>
      </c>
      <c r="E273" s="242">
        <v>1150000</v>
      </c>
      <c r="F273" s="242">
        <f>D273*100/E273</f>
        <v>39.41896347826087</v>
      </c>
      <c r="G273" s="245"/>
      <c r="H273" s="245"/>
      <c r="I273" s="245"/>
      <c r="J273" s="280"/>
      <c r="K273" s="92"/>
    </row>
    <row r="274" spans="1:11" ht="12.75">
      <c r="A274" s="237">
        <v>426311</v>
      </c>
      <c r="B274" s="251"/>
      <c r="C274" s="237" t="s">
        <v>65</v>
      </c>
      <c r="D274" s="286"/>
      <c r="E274" s="239"/>
      <c r="F274" s="239"/>
      <c r="G274" s="255"/>
      <c r="H274" s="255"/>
      <c r="I274" s="255"/>
      <c r="J274" s="246"/>
      <c r="K274" s="92"/>
    </row>
    <row r="275" spans="1:11" ht="12.75">
      <c r="A275" s="288">
        <v>4263</v>
      </c>
      <c r="B275" s="251"/>
      <c r="C275" s="288" t="s">
        <v>115</v>
      </c>
      <c r="D275" s="289"/>
      <c r="E275" s="239"/>
      <c r="F275" s="256"/>
      <c r="G275" s="245"/>
      <c r="H275" s="245"/>
      <c r="I275" s="245"/>
      <c r="J275" s="246"/>
      <c r="K275" s="92"/>
    </row>
    <row r="276" spans="1:11" ht="12.75">
      <c r="A276" s="237">
        <v>426491</v>
      </c>
      <c r="B276" s="251"/>
      <c r="C276" s="237" t="s">
        <v>69</v>
      </c>
      <c r="D276" s="286">
        <v>293820.82</v>
      </c>
      <c r="E276" s="239"/>
      <c r="F276" s="239"/>
      <c r="G276" s="255"/>
      <c r="H276" s="255"/>
      <c r="I276" s="255"/>
      <c r="J276" s="246"/>
      <c r="K276" s="92"/>
    </row>
    <row r="277" spans="1:11" ht="12.75">
      <c r="A277" s="240">
        <v>4264</v>
      </c>
      <c r="B277" s="251">
        <f t="shared" si="8"/>
        <v>7.840306692345116</v>
      </c>
      <c r="C277" s="240" t="s">
        <v>116</v>
      </c>
      <c r="D277" s="287">
        <f>SUM(D276)</f>
        <v>293820.82</v>
      </c>
      <c r="E277" s="242">
        <v>100000</v>
      </c>
      <c r="F277" s="242">
        <f>D277*100/E277</f>
        <v>293.82082</v>
      </c>
      <c r="G277" s="245"/>
      <c r="H277" s="245"/>
      <c r="I277" s="245"/>
      <c r="J277" s="245"/>
      <c r="K277" s="68"/>
    </row>
    <row r="278" spans="1:11" ht="12.75">
      <c r="A278" s="237">
        <v>426811</v>
      </c>
      <c r="B278" s="251"/>
      <c r="C278" s="237" t="s">
        <v>76</v>
      </c>
      <c r="D278" s="286">
        <v>60097.97</v>
      </c>
      <c r="E278" s="239"/>
      <c r="F278" s="239"/>
      <c r="G278" s="255"/>
      <c r="H278" s="255"/>
      <c r="I278" s="255"/>
      <c r="J278" s="246"/>
      <c r="K278" s="92"/>
    </row>
    <row r="279" spans="1:11" ht="12.75">
      <c r="A279" s="237">
        <v>426812</v>
      </c>
      <c r="B279" s="251"/>
      <c r="C279" s="237" t="s">
        <v>77</v>
      </c>
      <c r="D279" s="286">
        <v>16461</v>
      </c>
      <c r="E279" s="239"/>
      <c r="F279" s="239"/>
      <c r="G279" s="255"/>
      <c r="H279" s="255"/>
      <c r="I279" s="255"/>
      <c r="J279" s="246"/>
      <c r="K279" s="92"/>
    </row>
    <row r="280" spans="1:11" ht="12.75">
      <c r="A280" s="237">
        <v>426819</v>
      </c>
      <c r="B280" s="251"/>
      <c r="C280" s="237" t="s">
        <v>78</v>
      </c>
      <c r="D280" s="286"/>
      <c r="E280" s="239"/>
      <c r="F280" s="239"/>
      <c r="G280" s="255"/>
      <c r="H280" s="255"/>
      <c r="I280" s="255"/>
      <c r="J280" s="246"/>
      <c r="K280" s="92"/>
    </row>
    <row r="281" spans="1:11" ht="12.75">
      <c r="A281" s="240">
        <v>4268</v>
      </c>
      <c r="B281" s="251">
        <f t="shared" si="8"/>
        <v>2.042897453114619</v>
      </c>
      <c r="C281" s="240" t="s">
        <v>118</v>
      </c>
      <c r="D281" s="287">
        <f>SUM(D278:D280)</f>
        <v>76558.97</v>
      </c>
      <c r="E281" s="242">
        <v>300000</v>
      </c>
      <c r="F281" s="242">
        <f>D281*100/E281</f>
        <v>25.519656666666666</v>
      </c>
      <c r="G281" s="245"/>
      <c r="H281" s="245"/>
      <c r="I281" s="245"/>
      <c r="J281" s="280"/>
      <c r="K281" s="92"/>
    </row>
    <row r="282" spans="1:11" ht="12.75">
      <c r="A282" s="237">
        <v>426911</v>
      </c>
      <c r="B282" s="251"/>
      <c r="C282" s="237" t="s">
        <v>79</v>
      </c>
      <c r="D282" s="286">
        <f>1358+16583.72</f>
        <v>17941.72</v>
      </c>
      <c r="E282" s="239"/>
      <c r="F282" s="239"/>
      <c r="G282" s="255"/>
      <c r="H282" s="255"/>
      <c r="I282" s="255"/>
      <c r="J282" s="246"/>
      <c r="K282" s="92"/>
    </row>
    <row r="283" spans="1:11" ht="12.75">
      <c r="A283" s="237">
        <v>426913</v>
      </c>
      <c r="B283" s="251"/>
      <c r="C283" s="237" t="s">
        <v>80</v>
      </c>
      <c r="D283" s="286">
        <v>83536</v>
      </c>
      <c r="E283" s="239"/>
      <c r="F283" s="239"/>
      <c r="G283" s="255"/>
      <c r="H283" s="255"/>
      <c r="I283" s="255"/>
      <c r="J283" s="246"/>
      <c r="K283" s="92"/>
    </row>
    <row r="284" spans="1:11" ht="12.75">
      <c r="A284" s="240">
        <v>4269</v>
      </c>
      <c r="B284" s="251">
        <f t="shared" si="8"/>
        <v>2.707828693827496</v>
      </c>
      <c r="C284" s="240" t="s">
        <v>119</v>
      </c>
      <c r="D284" s="287">
        <f>SUM(D282:D283)</f>
        <v>101477.72</v>
      </c>
      <c r="E284" s="242">
        <f>SUM(E282:E283)</f>
        <v>0</v>
      </c>
      <c r="F284" s="242"/>
      <c r="G284" s="245"/>
      <c r="H284" s="245"/>
      <c r="I284" s="245"/>
      <c r="J284" s="280"/>
      <c r="K284" s="92"/>
    </row>
    <row r="285" spans="1:11" ht="12.75">
      <c r="A285" s="237">
        <v>431111</v>
      </c>
      <c r="B285" s="251">
        <f t="shared" si="8"/>
        <v>0</v>
      </c>
      <c r="C285" s="237" t="s">
        <v>82</v>
      </c>
      <c r="D285" s="286"/>
      <c r="E285" s="239"/>
      <c r="F285" s="239"/>
      <c r="G285" s="255"/>
      <c r="H285" s="255"/>
      <c r="I285" s="255"/>
      <c r="J285" s="246"/>
      <c r="K285" s="92"/>
    </row>
    <row r="286" spans="1:11" ht="12.75">
      <c r="A286" s="240">
        <v>4311</v>
      </c>
      <c r="B286" s="251">
        <f t="shared" si="8"/>
        <v>0</v>
      </c>
      <c r="C286" s="240" t="s">
        <v>83</v>
      </c>
      <c r="D286" s="287"/>
      <c r="E286" s="239"/>
      <c r="F286" s="256"/>
      <c r="G286" s="245"/>
      <c r="H286" s="245"/>
      <c r="I286" s="245"/>
      <c r="J286" s="246"/>
      <c r="K286" s="92"/>
    </row>
    <row r="287" spans="1:11" ht="12.75">
      <c r="A287" s="237">
        <v>431211</v>
      </c>
      <c r="B287" s="251">
        <f t="shared" si="8"/>
        <v>0</v>
      </c>
      <c r="C287" s="237" t="s">
        <v>84</v>
      </c>
      <c r="D287" s="286"/>
      <c r="E287" s="239"/>
      <c r="F287" s="239"/>
      <c r="G287" s="255"/>
      <c r="H287" s="255"/>
      <c r="I287" s="255"/>
      <c r="J287" s="246"/>
      <c r="K287" s="92"/>
    </row>
    <row r="288" spans="1:11" ht="12.75">
      <c r="A288" s="240">
        <v>4312</v>
      </c>
      <c r="B288" s="251">
        <f t="shared" si="8"/>
        <v>0</v>
      </c>
      <c r="C288" s="240" t="s">
        <v>84</v>
      </c>
      <c r="D288" s="287"/>
      <c r="E288" s="239"/>
      <c r="F288" s="256"/>
      <c r="G288" s="245"/>
      <c r="H288" s="245"/>
      <c r="I288" s="245"/>
      <c r="J288" s="246"/>
      <c r="K288" s="92"/>
    </row>
    <row r="289" spans="1:11" ht="12.75">
      <c r="A289" s="237">
        <v>444211</v>
      </c>
      <c r="B289" s="251">
        <f t="shared" si="8"/>
        <v>0</v>
      </c>
      <c r="C289" s="237" t="s">
        <v>85</v>
      </c>
      <c r="D289" s="286"/>
      <c r="E289" s="239"/>
      <c r="F289" s="239"/>
      <c r="G289" s="255"/>
      <c r="H289" s="255"/>
      <c r="I289" s="255"/>
      <c r="J289" s="246"/>
      <c r="K289" s="92"/>
    </row>
    <row r="290" spans="1:11" ht="12.75">
      <c r="A290" s="240">
        <v>4442</v>
      </c>
      <c r="B290" s="251">
        <f t="shared" si="8"/>
        <v>0</v>
      </c>
      <c r="C290" s="240" t="s">
        <v>85</v>
      </c>
      <c r="D290" s="287"/>
      <c r="E290" s="239"/>
      <c r="F290" s="256"/>
      <c r="G290" s="245"/>
      <c r="H290" s="245"/>
      <c r="I290" s="245"/>
      <c r="J290" s="246"/>
      <c r="K290" s="92"/>
    </row>
    <row r="291" spans="1:11" ht="12.75">
      <c r="A291" s="237">
        <v>482131</v>
      </c>
      <c r="B291" s="251"/>
      <c r="C291" s="237" t="s">
        <v>86</v>
      </c>
      <c r="D291" s="286">
        <v>3142.5</v>
      </c>
      <c r="E291" s="239"/>
      <c r="F291" s="239"/>
      <c r="G291" s="255"/>
      <c r="H291" s="255"/>
      <c r="I291" s="255"/>
      <c r="J291" s="246"/>
      <c r="K291" s="92"/>
    </row>
    <row r="292" spans="1:11" ht="12.75">
      <c r="A292" s="240">
        <v>4821</v>
      </c>
      <c r="B292" s="251">
        <f t="shared" si="8"/>
        <v>0.08385438370464873</v>
      </c>
      <c r="C292" s="240" t="s">
        <v>87</v>
      </c>
      <c r="D292" s="287">
        <f>SUM(D291)</f>
        <v>3142.5</v>
      </c>
      <c r="E292" s="239"/>
      <c r="F292" s="256"/>
      <c r="G292" s="245"/>
      <c r="H292" s="245"/>
      <c r="I292" s="245"/>
      <c r="J292" s="246"/>
      <c r="K292" s="92"/>
    </row>
    <row r="293" spans="1:11" ht="12.75">
      <c r="A293" s="237">
        <v>482211</v>
      </c>
      <c r="B293" s="251"/>
      <c r="C293" s="237" t="s">
        <v>88</v>
      </c>
      <c r="D293" s="286"/>
      <c r="E293" s="239"/>
      <c r="F293" s="239"/>
      <c r="G293" s="255"/>
      <c r="H293" s="255"/>
      <c r="I293" s="255"/>
      <c r="J293" s="246"/>
      <c r="K293" s="92"/>
    </row>
    <row r="294" spans="1:11" ht="12.75">
      <c r="A294" s="234">
        <v>482241</v>
      </c>
      <c r="B294" s="251"/>
      <c r="C294" s="234" t="s">
        <v>91</v>
      </c>
      <c r="D294" s="290">
        <v>40399</v>
      </c>
      <c r="E294" s="239"/>
      <c r="F294" s="239"/>
      <c r="G294" s="255"/>
      <c r="H294" s="255"/>
      <c r="I294" s="255"/>
      <c r="J294" s="246"/>
      <c r="K294" s="92"/>
    </row>
    <row r="295" spans="1:11" ht="12.75">
      <c r="A295" s="237">
        <v>482251</v>
      </c>
      <c r="B295" s="251"/>
      <c r="C295" s="237" t="s">
        <v>89</v>
      </c>
      <c r="D295" s="286">
        <v>6070</v>
      </c>
      <c r="E295" s="239"/>
      <c r="F295" s="239"/>
      <c r="G295" s="255"/>
      <c r="H295" s="255"/>
      <c r="I295" s="255"/>
      <c r="J295" s="246"/>
      <c r="K295" s="122"/>
    </row>
    <row r="296" spans="1:11" ht="12.75">
      <c r="A296" s="240">
        <v>4822</v>
      </c>
      <c r="B296" s="251">
        <f t="shared" si="8"/>
        <v>1.2399775199272305</v>
      </c>
      <c r="C296" s="240" t="s">
        <v>90</v>
      </c>
      <c r="D296" s="287">
        <f>SUM(D293:D295)</f>
        <v>46469</v>
      </c>
      <c r="E296" s="239"/>
      <c r="F296" s="256"/>
      <c r="G296" s="245"/>
      <c r="H296" s="245"/>
      <c r="I296" s="245"/>
      <c r="J296" s="246"/>
      <c r="K296" s="122"/>
    </row>
    <row r="297" spans="1:11" ht="12.75">
      <c r="A297" s="240"/>
      <c r="B297" s="240"/>
      <c r="C297" s="240" t="s">
        <v>187</v>
      </c>
      <c r="D297" s="287"/>
      <c r="E297" s="242">
        <v>2200000</v>
      </c>
      <c r="F297" s="256"/>
      <c r="G297" s="245"/>
      <c r="H297" s="245"/>
      <c r="I297" s="245"/>
      <c r="J297" s="280"/>
      <c r="K297" s="122"/>
    </row>
    <row r="298" spans="1:11" ht="12.75">
      <c r="A298" s="240"/>
      <c r="B298" s="256">
        <f>D298*100/99312441.37</f>
        <v>2.108558203899484</v>
      </c>
      <c r="C298" s="240" t="s">
        <v>180</v>
      </c>
      <c r="D298" s="287">
        <f>D299+D300+D301+D302+D303</f>
        <v>2094060.63</v>
      </c>
      <c r="E298" s="242">
        <v>14025000</v>
      </c>
      <c r="F298" s="251">
        <f>D298*100/E298</f>
        <v>14.930913582887701</v>
      </c>
      <c r="G298" s="245"/>
      <c r="H298" s="245"/>
      <c r="I298" s="245"/>
      <c r="J298" s="245"/>
      <c r="K298" s="122"/>
    </row>
    <row r="299" spans="1:11" ht="12.75">
      <c r="A299" s="237">
        <v>421211</v>
      </c>
      <c r="B299" s="239">
        <f>D299*100/2094060.63</f>
        <v>29.819691992394706</v>
      </c>
      <c r="C299" s="237" t="s">
        <v>23</v>
      </c>
      <c r="D299" s="286">
        <v>624442.43</v>
      </c>
      <c r="E299" s="239">
        <v>3000000</v>
      </c>
      <c r="F299" s="239">
        <f>D299*100/E299</f>
        <v>20.81474766666667</v>
      </c>
      <c r="G299" s="255"/>
      <c r="H299" s="255"/>
      <c r="I299" s="255"/>
      <c r="J299" s="246"/>
      <c r="K299" s="125"/>
    </row>
    <row r="300" spans="1:11" ht="12.75">
      <c r="A300" s="237">
        <v>421225</v>
      </c>
      <c r="B300" s="239">
        <f>D300*100/2094060.63</f>
        <v>1.9731138348176671</v>
      </c>
      <c r="C300" s="237" t="s">
        <v>24</v>
      </c>
      <c r="D300" s="286">
        <v>41318.2</v>
      </c>
      <c r="E300" s="239">
        <v>4000000</v>
      </c>
      <c r="F300" s="239">
        <f>D300*100/E300</f>
        <v>1.0329549999999998</v>
      </c>
      <c r="G300" s="255"/>
      <c r="H300" s="255"/>
      <c r="I300" s="255"/>
      <c r="J300" s="246"/>
      <c r="K300" s="125"/>
    </row>
    <row r="301" spans="1:11" ht="12.75">
      <c r="A301" s="252">
        <v>426411</v>
      </c>
      <c r="B301" s="239">
        <f>D301*100/2094060.63</f>
        <v>58.6563723324477</v>
      </c>
      <c r="C301" s="252" t="s">
        <v>66</v>
      </c>
      <c r="D301" s="291">
        <v>1228300</v>
      </c>
      <c r="E301" s="239">
        <v>7025000</v>
      </c>
      <c r="F301" s="239">
        <f>D301*100/E301</f>
        <v>17.484697508896797</v>
      </c>
      <c r="G301" s="255"/>
      <c r="H301" s="255"/>
      <c r="I301" s="255"/>
      <c r="J301" s="246"/>
      <c r="K301" s="122"/>
    </row>
    <row r="302" spans="1:11" ht="12.75">
      <c r="A302" s="237">
        <v>426412</v>
      </c>
      <c r="B302" s="239">
        <f>D302*100/2094060.63</f>
        <v>9.550821840339934</v>
      </c>
      <c r="C302" s="237" t="s">
        <v>67</v>
      </c>
      <c r="D302" s="286">
        <v>200000</v>
      </c>
      <c r="E302" s="239"/>
      <c r="F302" s="239"/>
      <c r="G302" s="255"/>
      <c r="H302" s="255"/>
      <c r="I302" s="255"/>
      <c r="J302" s="246"/>
      <c r="K302" s="122"/>
    </row>
    <row r="303" spans="1:11" ht="12.75">
      <c r="A303" s="237">
        <v>426413</v>
      </c>
      <c r="B303" s="239">
        <f>D303*100/2094060.63</f>
        <v>0</v>
      </c>
      <c r="C303" s="237" t="s">
        <v>68</v>
      </c>
      <c r="D303" s="286"/>
      <c r="E303" s="239"/>
      <c r="F303" s="239"/>
      <c r="G303" s="255"/>
      <c r="H303" s="255"/>
      <c r="I303" s="255"/>
      <c r="J303" s="246"/>
      <c r="K303" s="122"/>
    </row>
    <row r="304" spans="1:11" ht="12.75">
      <c r="A304" s="247"/>
      <c r="B304" s="247"/>
      <c r="C304" s="247"/>
      <c r="D304" s="255"/>
      <c r="E304" s="246"/>
      <c r="F304" s="246"/>
      <c r="G304" s="255"/>
      <c r="H304" s="255"/>
      <c r="I304" s="255"/>
      <c r="J304" s="246"/>
      <c r="K304" s="122"/>
    </row>
    <row r="305" spans="1:11" ht="12.75">
      <c r="A305" s="247"/>
      <c r="B305" s="247"/>
      <c r="C305" s="247"/>
      <c r="D305" s="255"/>
      <c r="E305" s="246"/>
      <c r="F305" s="246"/>
      <c r="G305" s="255"/>
      <c r="H305" s="255"/>
      <c r="I305" s="255"/>
      <c r="J305" s="246"/>
      <c r="K305" s="122"/>
    </row>
    <row r="306" spans="1:11" ht="12.75">
      <c r="A306" s="247"/>
      <c r="B306" s="247"/>
      <c r="C306" s="247"/>
      <c r="D306" s="255"/>
      <c r="E306" s="246"/>
      <c r="F306" s="246"/>
      <c r="G306" s="255"/>
      <c r="H306" s="255"/>
      <c r="I306" s="255"/>
      <c r="J306" s="246"/>
      <c r="K306" s="122"/>
    </row>
    <row r="307" spans="1:11" ht="12.75">
      <c r="A307" s="247"/>
      <c r="B307" s="247"/>
      <c r="C307" s="247"/>
      <c r="D307" s="255"/>
      <c r="E307" s="246"/>
      <c r="F307" s="246"/>
      <c r="G307" s="255"/>
      <c r="H307" s="255"/>
      <c r="I307" s="255"/>
      <c r="J307" s="246"/>
      <c r="K307" s="122"/>
    </row>
    <row r="308" spans="1:11" ht="12.75">
      <c r="A308" s="247"/>
      <c r="B308" s="247"/>
      <c r="C308" s="247"/>
      <c r="D308" s="255"/>
      <c r="E308" s="246"/>
      <c r="F308" s="246"/>
      <c r="G308" s="255"/>
      <c r="H308" s="255"/>
      <c r="I308" s="255"/>
      <c r="J308" s="246"/>
      <c r="K308" s="122"/>
    </row>
    <row r="309" spans="1:11" ht="12.75">
      <c r="A309" s="231" t="s">
        <v>297</v>
      </c>
      <c r="B309" s="231"/>
      <c r="C309" s="231"/>
      <c r="D309" s="278"/>
      <c r="E309" s="278"/>
      <c r="F309" s="228"/>
      <c r="G309" s="231" t="s">
        <v>229</v>
      </c>
      <c r="H309" s="255"/>
      <c r="I309" s="255"/>
      <c r="J309" s="246"/>
      <c r="K309" s="122"/>
    </row>
    <row r="310" spans="1:11" ht="33.75">
      <c r="A310" s="232" t="s">
        <v>0</v>
      </c>
      <c r="B310" s="232" t="s">
        <v>208</v>
      </c>
      <c r="C310" s="232" t="s">
        <v>1</v>
      </c>
      <c r="D310" s="232" t="s">
        <v>197</v>
      </c>
      <c r="E310" s="260" t="s">
        <v>196</v>
      </c>
      <c r="F310" s="282" t="s">
        <v>170</v>
      </c>
      <c r="G310" s="255"/>
      <c r="H310" s="255"/>
      <c r="I310" s="255"/>
      <c r="J310" s="246"/>
      <c r="K310" s="122"/>
    </row>
    <row r="311" spans="1:11" ht="12.75">
      <c r="A311" s="257"/>
      <c r="B311" s="257"/>
      <c r="C311" s="257" t="s">
        <v>181</v>
      </c>
      <c r="D311" s="238"/>
      <c r="E311" s="239"/>
      <c r="F311" s="239"/>
      <c r="G311" s="255"/>
      <c r="H311" s="255"/>
      <c r="I311" s="255"/>
      <c r="J311" s="246"/>
      <c r="K311" s="122"/>
    </row>
    <row r="312" spans="1:11" ht="12.75">
      <c r="A312" s="257"/>
      <c r="B312" s="242">
        <f>D312*100/99312441.37</f>
        <v>1.3650264974852464</v>
      </c>
      <c r="C312" s="257" t="s">
        <v>182</v>
      </c>
      <c r="D312" s="274">
        <f>D313+D314+D315+D316</f>
        <v>1355641.14</v>
      </c>
      <c r="E312" s="242">
        <v>5356000</v>
      </c>
      <c r="F312" s="242">
        <f>D312*100/E312</f>
        <v>25.310700896191186</v>
      </c>
      <c r="G312" s="255"/>
      <c r="H312" s="255"/>
      <c r="I312" s="255"/>
      <c r="J312" s="246"/>
      <c r="K312" s="122"/>
    </row>
    <row r="313" spans="1:11" ht="12.75">
      <c r="A313" s="237">
        <v>4267111</v>
      </c>
      <c r="B313" s="251">
        <f>D313*100/1355641.14</f>
        <v>10.32773319346151</v>
      </c>
      <c r="C313" s="237" t="s">
        <v>70</v>
      </c>
      <c r="D313" s="238">
        <v>140007</v>
      </c>
      <c r="E313" s="239"/>
      <c r="F313" s="239"/>
      <c r="G313" s="255"/>
      <c r="H313" s="255"/>
      <c r="I313" s="255"/>
      <c r="J313" s="246"/>
      <c r="K313" s="122"/>
    </row>
    <row r="314" spans="1:11" ht="12.75">
      <c r="A314" s="237">
        <v>4267112</v>
      </c>
      <c r="B314" s="251">
        <f>D314*100/1355641.14</f>
        <v>28.28470298562937</v>
      </c>
      <c r="C314" s="237" t="s">
        <v>71</v>
      </c>
      <c r="D314" s="238">
        <v>383439.07</v>
      </c>
      <c r="E314" s="239"/>
      <c r="F314" s="239"/>
      <c r="G314" s="255"/>
      <c r="H314" s="255"/>
      <c r="I314" s="255"/>
      <c r="J314" s="246"/>
      <c r="K314" s="122"/>
    </row>
    <row r="315" spans="1:11" ht="12.75">
      <c r="A315" s="237">
        <v>4267113</v>
      </c>
      <c r="B315" s="251">
        <f>D315*100/1355641.14</f>
        <v>0</v>
      </c>
      <c r="C315" s="237" t="s">
        <v>72</v>
      </c>
      <c r="D315" s="238"/>
      <c r="E315" s="239"/>
      <c r="F315" s="239"/>
      <c r="G315" s="255"/>
      <c r="H315" s="255"/>
      <c r="I315" s="255"/>
      <c r="J315" s="246"/>
      <c r="K315" s="122"/>
    </row>
    <row r="316" spans="1:11" ht="12.75">
      <c r="A316" s="237">
        <v>426721</v>
      </c>
      <c r="B316" s="251">
        <f>D316*100/1355641.14</f>
        <v>61.38756382090913</v>
      </c>
      <c r="C316" s="237" t="s">
        <v>73</v>
      </c>
      <c r="D316" s="238">
        <v>832195.07</v>
      </c>
      <c r="E316" s="239"/>
      <c r="F316" s="239"/>
      <c r="G316" s="255"/>
      <c r="H316" s="255"/>
      <c r="I316" s="255"/>
      <c r="J316" s="246"/>
      <c r="K316" s="122"/>
    </row>
    <row r="317" spans="1:11" ht="12.75">
      <c r="A317" s="237"/>
      <c r="B317" s="242">
        <f>D317*100/99312441.37</f>
        <v>1.531459572455378</v>
      </c>
      <c r="C317" s="257" t="s">
        <v>183</v>
      </c>
      <c r="D317" s="274">
        <f>D318+D319</f>
        <v>1520929.8900000001</v>
      </c>
      <c r="E317" s="242">
        <v>5965000</v>
      </c>
      <c r="F317" s="242">
        <f>D317*100/E317</f>
        <v>25.497567309304277</v>
      </c>
      <c r="G317" s="255"/>
      <c r="H317" s="255"/>
      <c r="I317" s="255"/>
      <c r="J317" s="246"/>
      <c r="K317" s="122"/>
    </row>
    <row r="318" spans="1:11" ht="12.75">
      <c r="A318" s="237">
        <v>4267510</v>
      </c>
      <c r="B318" s="239">
        <f>D318*100/1520929.89</f>
        <v>75.19485727248086</v>
      </c>
      <c r="C318" s="237" t="s">
        <v>75</v>
      </c>
      <c r="D318" s="238">
        <v>1143661.06</v>
      </c>
      <c r="E318" s="239"/>
      <c r="F318" s="239"/>
      <c r="G318" s="255"/>
      <c r="H318" s="255"/>
      <c r="I318" s="255"/>
      <c r="J318" s="246"/>
      <c r="K318" s="122"/>
    </row>
    <row r="319" spans="1:11" ht="12.75">
      <c r="A319" s="237">
        <v>4267511</v>
      </c>
      <c r="B319" s="239">
        <f>D319*100/1520929.89</f>
        <v>24.80514272751915</v>
      </c>
      <c r="C319" s="237" t="s">
        <v>74</v>
      </c>
      <c r="D319" s="238">
        <v>377268.83</v>
      </c>
      <c r="E319" s="239"/>
      <c r="F319" s="239"/>
      <c r="G319" s="255"/>
      <c r="H319" s="255"/>
      <c r="I319" s="255"/>
      <c r="J319" s="246"/>
      <c r="K319" s="122"/>
    </row>
    <row r="320" spans="1:11" ht="12.75">
      <c r="A320" s="237"/>
      <c r="B320" s="239"/>
      <c r="C320" s="257" t="s">
        <v>230</v>
      </c>
      <c r="D320" s="274"/>
      <c r="E320" s="242">
        <v>29034000</v>
      </c>
      <c r="F320" s="242"/>
      <c r="G320" s="255"/>
      <c r="H320" s="255"/>
      <c r="I320" s="255"/>
      <c r="J320" s="246"/>
      <c r="K320" s="122"/>
    </row>
    <row r="321" spans="1:11" ht="12.75">
      <c r="A321" s="237"/>
      <c r="B321" s="257">
        <v>100</v>
      </c>
      <c r="C321" s="240" t="s">
        <v>134</v>
      </c>
      <c r="D321" s="241">
        <f>D317+D312+D298+D197+D196+D193</f>
        <v>99312441.37</v>
      </c>
      <c r="E321" s="241">
        <f>E317+E312+E298+E197+E196+E193</f>
        <v>259283000</v>
      </c>
      <c r="F321" s="241">
        <f>D321*100/E321</f>
        <v>38.30271995078736</v>
      </c>
      <c r="G321" s="245"/>
      <c r="H321" s="245"/>
      <c r="I321" s="245"/>
      <c r="J321" s="245"/>
      <c r="K321" s="113"/>
    </row>
    <row r="322" spans="1:11" ht="12.75">
      <c r="A322" s="247"/>
      <c r="B322" s="247"/>
      <c r="C322" s="240" t="s">
        <v>198</v>
      </c>
      <c r="D322" s="241">
        <v>1633750</v>
      </c>
      <c r="E322" s="256">
        <f>4915000+134000</f>
        <v>5049000</v>
      </c>
      <c r="F322" s="241">
        <f>D322*100/E322</f>
        <v>32.3578926520103</v>
      </c>
      <c r="G322" s="245"/>
      <c r="H322" s="245"/>
      <c r="I322" s="245"/>
      <c r="J322" s="246"/>
      <c r="K322" s="92"/>
    </row>
    <row r="323" spans="1:11" ht="12.75">
      <c r="A323" s="247"/>
      <c r="B323" s="247"/>
      <c r="C323" s="240" t="s">
        <v>199</v>
      </c>
      <c r="D323" s="241">
        <f>D321-D322</f>
        <v>97678691.37</v>
      </c>
      <c r="E323" s="241">
        <f>E321-E322</f>
        <v>254234000</v>
      </c>
      <c r="F323" s="241">
        <f>D323*100/E323</f>
        <v>38.420782180982876</v>
      </c>
      <c r="G323" s="245"/>
      <c r="H323" s="245"/>
      <c r="I323" s="245"/>
      <c r="J323" s="245"/>
      <c r="K323" s="92"/>
    </row>
    <row r="324" spans="1:11" ht="12.75">
      <c r="A324" s="247"/>
      <c r="B324" s="247"/>
      <c r="C324" s="244"/>
      <c r="D324" s="245"/>
      <c r="E324" s="245"/>
      <c r="F324" s="245"/>
      <c r="G324" s="245"/>
      <c r="H324" s="245"/>
      <c r="I324" s="245"/>
      <c r="J324" s="245"/>
      <c r="K324" s="92"/>
    </row>
    <row r="325" spans="1:11" ht="12.75">
      <c r="A325" s="247"/>
      <c r="B325" s="247"/>
      <c r="C325" s="244"/>
      <c r="D325" s="245"/>
      <c r="E325" s="245"/>
      <c r="F325" s="245"/>
      <c r="G325" s="245"/>
      <c r="H325" s="245"/>
      <c r="I325" s="245"/>
      <c r="J325" s="245"/>
      <c r="K325" s="92"/>
    </row>
    <row r="326" spans="1:11" ht="12.75">
      <c r="A326" s="247"/>
      <c r="B326" s="247"/>
      <c r="C326" s="244"/>
      <c r="D326" s="245"/>
      <c r="E326" s="245"/>
      <c r="F326" s="245"/>
      <c r="G326" s="245"/>
      <c r="H326" s="245"/>
      <c r="I326" s="245"/>
      <c r="J326" s="245"/>
      <c r="K326" s="92"/>
    </row>
    <row r="327" spans="1:11" ht="12.75">
      <c r="A327" s="247"/>
      <c r="B327" s="247"/>
      <c r="C327" s="244"/>
      <c r="D327" s="245"/>
      <c r="E327" s="245"/>
      <c r="F327" s="245"/>
      <c r="G327" s="245"/>
      <c r="H327" s="245"/>
      <c r="I327" s="245"/>
      <c r="J327" s="245"/>
      <c r="K327" s="92"/>
    </row>
    <row r="328" spans="1:11" ht="12.75">
      <c r="A328" s="247"/>
      <c r="B328" s="247"/>
      <c r="C328" s="244"/>
      <c r="D328" s="245"/>
      <c r="E328" s="245"/>
      <c r="F328" s="245"/>
      <c r="G328" s="245"/>
      <c r="H328" s="245"/>
      <c r="I328" s="245"/>
      <c r="J328" s="245"/>
      <c r="K328" s="92"/>
    </row>
    <row r="329" spans="1:11" ht="12.75">
      <c r="A329" s="247"/>
      <c r="B329" s="247"/>
      <c r="C329" s="244"/>
      <c r="D329" s="245"/>
      <c r="E329" s="245"/>
      <c r="F329" s="245"/>
      <c r="G329" s="245"/>
      <c r="H329" s="245"/>
      <c r="I329" s="245"/>
      <c r="J329" s="245"/>
      <c r="K329" s="92"/>
    </row>
    <row r="330" spans="1:11" ht="12.75">
      <c r="A330" s="247"/>
      <c r="B330" s="247"/>
      <c r="C330" s="244"/>
      <c r="D330" s="245"/>
      <c r="E330" s="245"/>
      <c r="F330" s="245"/>
      <c r="G330" s="245"/>
      <c r="H330" s="245"/>
      <c r="I330" s="245"/>
      <c r="J330" s="245"/>
      <c r="K330" s="92"/>
    </row>
    <row r="331" spans="1:11" ht="12.75">
      <c r="A331" s="247"/>
      <c r="B331" s="247"/>
      <c r="C331" s="244"/>
      <c r="D331" s="245"/>
      <c r="E331" s="245"/>
      <c r="F331" s="245"/>
      <c r="G331" s="245"/>
      <c r="H331" s="245"/>
      <c r="I331" s="245"/>
      <c r="J331" s="245"/>
      <c r="K331" s="92"/>
    </row>
    <row r="332" spans="1:11" ht="12.75">
      <c r="A332" s="247"/>
      <c r="B332" s="247"/>
      <c r="C332" s="244"/>
      <c r="D332" s="245"/>
      <c r="E332" s="245"/>
      <c r="F332" s="245"/>
      <c r="G332" s="245"/>
      <c r="H332" s="245"/>
      <c r="I332" s="245"/>
      <c r="J332" s="245"/>
      <c r="K332" s="92"/>
    </row>
    <row r="333" spans="1:11" ht="12.75">
      <c r="A333" s="247"/>
      <c r="B333" s="247"/>
      <c r="C333" s="244"/>
      <c r="D333" s="245"/>
      <c r="E333" s="245"/>
      <c r="F333" s="245"/>
      <c r="G333" s="245"/>
      <c r="H333" s="245"/>
      <c r="I333" s="245"/>
      <c r="J333" s="245"/>
      <c r="K333" s="92"/>
    </row>
    <row r="334" spans="1:11" ht="12.75">
      <c r="A334" s="247"/>
      <c r="B334" s="247"/>
      <c r="C334" s="244"/>
      <c r="D334" s="245"/>
      <c r="E334" s="245"/>
      <c r="F334" s="245"/>
      <c r="G334" s="245"/>
      <c r="H334" s="245"/>
      <c r="I334" s="245"/>
      <c r="J334" s="245"/>
      <c r="K334" s="92"/>
    </row>
    <row r="335" spans="1:11" ht="12.75">
      <c r="A335" s="247"/>
      <c r="B335" s="247"/>
      <c r="C335" s="244"/>
      <c r="D335" s="245"/>
      <c r="E335" s="245"/>
      <c r="F335" s="245"/>
      <c r="G335" s="245"/>
      <c r="H335" s="245"/>
      <c r="I335" s="245"/>
      <c r="J335" s="245"/>
      <c r="K335" s="92"/>
    </row>
    <row r="336" spans="1:11" ht="12.75">
      <c r="A336" s="247"/>
      <c r="B336" s="247"/>
      <c r="C336" s="244"/>
      <c r="D336" s="245"/>
      <c r="E336" s="245"/>
      <c r="F336" s="245"/>
      <c r="G336" s="245"/>
      <c r="H336" s="245"/>
      <c r="I336" s="245"/>
      <c r="J336" s="245"/>
      <c r="K336" s="92"/>
    </row>
    <row r="337" spans="1:11" ht="12.75">
      <c r="A337" s="247"/>
      <c r="B337" s="247"/>
      <c r="C337" s="244"/>
      <c r="D337" s="245"/>
      <c r="E337" s="245"/>
      <c r="F337" s="245"/>
      <c r="G337" s="245"/>
      <c r="H337" s="245"/>
      <c r="I337" s="245"/>
      <c r="J337" s="245"/>
      <c r="K337" s="92"/>
    </row>
    <row r="338" spans="1:11" ht="12.75">
      <c r="A338" s="247"/>
      <c r="B338" s="247"/>
      <c r="C338" s="244"/>
      <c r="D338" s="245"/>
      <c r="E338" s="245"/>
      <c r="F338" s="245"/>
      <c r="G338" s="245"/>
      <c r="H338" s="245"/>
      <c r="I338" s="245"/>
      <c r="J338" s="245"/>
      <c r="K338" s="92"/>
    </row>
    <row r="339" spans="1:11" ht="12.75">
      <c r="A339" s="247"/>
      <c r="B339" s="247"/>
      <c r="C339" s="244"/>
      <c r="D339" s="245"/>
      <c r="E339" s="245"/>
      <c r="F339" s="245"/>
      <c r="G339" s="245"/>
      <c r="H339" s="245"/>
      <c r="I339" s="245"/>
      <c r="J339" s="245"/>
      <c r="K339" s="92"/>
    </row>
    <row r="340" spans="1:11" ht="12.75">
      <c r="A340" s="247"/>
      <c r="B340" s="247"/>
      <c r="C340" s="244"/>
      <c r="D340" s="245"/>
      <c r="E340" s="245"/>
      <c r="F340" s="245"/>
      <c r="G340" s="245"/>
      <c r="H340" s="245"/>
      <c r="I340" s="245"/>
      <c r="J340" s="245"/>
      <c r="K340" s="92"/>
    </row>
    <row r="341" spans="1:11" ht="12.75">
      <c r="A341" s="247"/>
      <c r="B341" s="247"/>
      <c r="C341" s="244"/>
      <c r="D341" s="245"/>
      <c r="E341" s="245"/>
      <c r="F341" s="245"/>
      <c r="G341" s="245"/>
      <c r="H341" s="245"/>
      <c r="I341" s="245"/>
      <c r="J341" s="245"/>
      <c r="K341" s="92"/>
    </row>
    <row r="342" spans="1:11" ht="12.75">
      <c r="A342" s="247"/>
      <c r="B342" s="247"/>
      <c r="C342" s="244"/>
      <c r="D342" s="245"/>
      <c r="E342" s="245"/>
      <c r="F342" s="245"/>
      <c r="G342" s="245"/>
      <c r="H342" s="245"/>
      <c r="I342" s="245"/>
      <c r="J342" s="245"/>
      <c r="K342" s="92"/>
    </row>
    <row r="343" spans="1:11" ht="12.75">
      <c r="A343" s="247"/>
      <c r="B343" s="247"/>
      <c r="C343" s="244"/>
      <c r="D343" s="245"/>
      <c r="E343" s="245"/>
      <c r="F343" s="245"/>
      <c r="G343" s="245"/>
      <c r="H343" s="245"/>
      <c r="I343" s="245"/>
      <c r="J343" s="245"/>
      <c r="K343" s="92"/>
    </row>
    <row r="344" spans="1:11" ht="12.75">
      <c r="A344" s="247"/>
      <c r="B344" s="247"/>
      <c r="C344" s="244"/>
      <c r="D344" s="245"/>
      <c r="E344" s="245"/>
      <c r="F344" s="245"/>
      <c r="G344" s="245"/>
      <c r="H344" s="245"/>
      <c r="I344" s="245"/>
      <c r="J344" s="245"/>
      <c r="K344" s="92"/>
    </row>
    <row r="345" spans="1:11" ht="12.75">
      <c r="A345" s="247"/>
      <c r="B345" s="247"/>
      <c r="C345" s="244"/>
      <c r="D345" s="245"/>
      <c r="E345" s="245"/>
      <c r="F345" s="245"/>
      <c r="G345" s="245"/>
      <c r="H345" s="245"/>
      <c r="I345" s="245"/>
      <c r="J345" s="245"/>
      <c r="K345" s="92"/>
    </row>
    <row r="346" spans="1:11" ht="12.75">
      <c r="A346" s="247"/>
      <c r="B346" s="247"/>
      <c r="C346" s="244"/>
      <c r="D346" s="245"/>
      <c r="E346" s="245"/>
      <c r="F346" s="245"/>
      <c r="G346" s="245"/>
      <c r="H346" s="245"/>
      <c r="I346" s="245"/>
      <c r="J346" s="245"/>
      <c r="K346" s="92"/>
    </row>
    <row r="347" spans="1:11" ht="12.75">
      <c r="A347" s="247"/>
      <c r="B347" s="247"/>
      <c r="C347" s="244"/>
      <c r="D347" s="245"/>
      <c r="E347" s="245"/>
      <c r="F347" s="245"/>
      <c r="G347" s="245"/>
      <c r="H347" s="245"/>
      <c r="I347" s="245"/>
      <c r="J347" s="245"/>
      <c r="K347" s="92"/>
    </row>
    <row r="348" spans="1:11" ht="12.75">
      <c r="A348" s="247"/>
      <c r="B348" s="247"/>
      <c r="C348" s="244"/>
      <c r="D348" s="245"/>
      <c r="E348" s="245"/>
      <c r="F348" s="245"/>
      <c r="G348" s="245"/>
      <c r="H348" s="245"/>
      <c r="I348" s="245"/>
      <c r="J348" s="246"/>
      <c r="K348" s="92"/>
    </row>
    <row r="349" spans="1:10" ht="12.75">
      <c r="A349" s="230"/>
      <c r="B349" s="230"/>
      <c r="C349" s="230"/>
      <c r="D349" s="230"/>
      <c r="E349" s="230"/>
      <c r="F349" s="230"/>
      <c r="G349" s="230"/>
      <c r="H349" s="230"/>
      <c r="I349" s="230"/>
      <c r="J349" s="230"/>
    </row>
    <row r="350" spans="1:10" ht="12.75">
      <c r="A350" s="230"/>
      <c r="B350" s="230"/>
      <c r="C350" s="230"/>
      <c r="D350" s="230"/>
      <c r="E350" s="230"/>
      <c r="F350" s="230"/>
      <c r="G350" s="230"/>
      <c r="H350" s="230"/>
      <c r="I350" s="230"/>
      <c r="J350" s="230"/>
    </row>
    <row r="351" spans="1:10" ht="12.75">
      <c r="A351" s="230"/>
      <c r="B351" s="230"/>
      <c r="C351" s="230"/>
      <c r="D351" s="230"/>
      <c r="E351" s="230"/>
      <c r="F351" s="230"/>
      <c r="G351" s="230"/>
      <c r="H351" s="230"/>
      <c r="I351" s="230"/>
      <c r="J351" s="230"/>
    </row>
    <row r="352" spans="1:10" ht="12.75">
      <c r="A352" s="230"/>
      <c r="B352" s="230"/>
      <c r="C352" s="230"/>
      <c r="D352" s="230"/>
      <c r="E352" s="230"/>
      <c r="F352" s="230"/>
      <c r="G352" s="230"/>
      <c r="H352" s="230"/>
      <c r="I352" s="230"/>
      <c r="J352" s="230"/>
    </row>
    <row r="353" spans="1:10" ht="12.75">
      <c r="A353" s="231" t="s">
        <v>298</v>
      </c>
      <c r="B353" s="231"/>
      <c r="C353" s="231"/>
      <c r="D353" s="278"/>
      <c r="E353" s="280"/>
      <c r="F353" s="273"/>
      <c r="G353" s="230"/>
      <c r="H353" s="230"/>
      <c r="I353" s="230"/>
      <c r="J353" s="230"/>
    </row>
    <row r="354" spans="1:10" ht="12.75">
      <c r="A354" s="231" t="s">
        <v>235</v>
      </c>
      <c r="B354" s="231"/>
      <c r="C354" s="231"/>
      <c r="D354" s="230"/>
      <c r="E354" s="230"/>
      <c r="F354" s="230"/>
      <c r="G354" s="228" t="s">
        <v>234</v>
      </c>
      <c r="H354" s="230"/>
      <c r="I354" s="230"/>
      <c r="J354" s="230"/>
    </row>
    <row r="355" spans="1:11" ht="33.75">
      <c r="A355" s="232" t="s">
        <v>0</v>
      </c>
      <c r="B355" s="232" t="s">
        <v>208</v>
      </c>
      <c r="C355" s="232" t="s">
        <v>1</v>
      </c>
      <c r="D355" s="232" t="s">
        <v>200</v>
      </c>
      <c r="E355" s="232" t="s">
        <v>201</v>
      </c>
      <c r="F355" s="233" t="s">
        <v>170</v>
      </c>
      <c r="G355" s="279"/>
      <c r="H355" s="279"/>
      <c r="I355" s="279"/>
      <c r="J355" s="279"/>
      <c r="K355" s="55"/>
    </row>
    <row r="356" spans="1:11" ht="12.75">
      <c r="A356" s="237">
        <v>411111</v>
      </c>
      <c r="B356" s="237"/>
      <c r="C356" s="237" t="s">
        <v>8</v>
      </c>
      <c r="D356" s="238">
        <v>2590798.15</v>
      </c>
      <c r="E356" s="238"/>
      <c r="F356" s="238"/>
      <c r="G356" s="270"/>
      <c r="H356" s="255"/>
      <c r="I356" s="255"/>
      <c r="J356" s="246"/>
      <c r="K356" s="92"/>
    </row>
    <row r="357" spans="1:11" ht="12.75">
      <c r="A357" s="237">
        <v>411112</v>
      </c>
      <c r="B357" s="237"/>
      <c r="C357" s="237" t="s">
        <v>93</v>
      </c>
      <c r="D357" s="238"/>
      <c r="E357" s="238"/>
      <c r="F357" s="238"/>
      <c r="G357" s="270"/>
      <c r="H357" s="255"/>
      <c r="I357" s="255"/>
      <c r="J357" s="246"/>
      <c r="K357" s="92"/>
    </row>
    <row r="358" spans="1:11" ht="12.75">
      <c r="A358" s="237">
        <v>411113</v>
      </c>
      <c r="B358" s="237"/>
      <c r="C358" s="237" t="s">
        <v>9</v>
      </c>
      <c r="D358" s="238"/>
      <c r="E358" s="238"/>
      <c r="F358" s="238"/>
      <c r="G358" s="270"/>
      <c r="H358" s="255"/>
      <c r="I358" s="255"/>
      <c r="J358" s="246"/>
      <c r="K358" s="92"/>
    </row>
    <row r="359" spans="1:11" ht="12.75">
      <c r="A359" s="237">
        <v>411114</v>
      </c>
      <c r="B359" s="237"/>
      <c r="C359" s="237" t="s">
        <v>10</v>
      </c>
      <c r="D359" s="238"/>
      <c r="E359" s="238"/>
      <c r="F359" s="238"/>
      <c r="G359" s="270"/>
      <c r="H359" s="255"/>
      <c r="I359" s="255"/>
      <c r="J359" s="246"/>
      <c r="K359" s="92"/>
    </row>
    <row r="360" spans="1:11" ht="12.75">
      <c r="A360" s="237">
        <v>411115</v>
      </c>
      <c r="B360" s="237"/>
      <c r="C360" s="237" t="s">
        <v>11</v>
      </c>
      <c r="D360" s="238"/>
      <c r="E360" s="238"/>
      <c r="F360" s="238"/>
      <c r="G360" s="270"/>
      <c r="H360" s="255"/>
      <c r="I360" s="255"/>
      <c r="J360" s="246"/>
      <c r="K360" s="92"/>
    </row>
    <row r="361" spans="1:11" ht="12.75">
      <c r="A361" s="237">
        <v>411117</v>
      </c>
      <c r="B361" s="237"/>
      <c r="C361" s="237" t="s">
        <v>12</v>
      </c>
      <c r="D361" s="238"/>
      <c r="E361" s="286"/>
      <c r="F361" s="238"/>
      <c r="G361" s="270"/>
      <c r="H361" s="255"/>
      <c r="I361" s="255"/>
      <c r="J361" s="246"/>
      <c r="K361" s="92"/>
    </row>
    <row r="362" spans="1:11" ht="12.75">
      <c r="A362" s="240">
        <v>4111</v>
      </c>
      <c r="B362" s="240"/>
      <c r="C362" s="240" t="s">
        <v>92</v>
      </c>
      <c r="D362" s="241">
        <f>SUM(D356:D361)</f>
        <v>2590798.15</v>
      </c>
      <c r="E362" s="287"/>
      <c r="F362" s="241"/>
      <c r="G362" s="270"/>
      <c r="H362" s="245"/>
      <c r="I362" s="245"/>
      <c r="J362" s="280"/>
      <c r="K362" s="120"/>
    </row>
    <row r="363" spans="1:11" ht="12.75">
      <c r="A363" s="237">
        <v>412111</v>
      </c>
      <c r="B363" s="237"/>
      <c r="C363" s="237" t="s">
        <v>13</v>
      </c>
      <c r="D363" s="238">
        <v>286558.78</v>
      </c>
      <c r="E363" s="286"/>
      <c r="F363" s="238"/>
      <c r="G363" s="270"/>
      <c r="H363" s="255"/>
      <c r="I363" s="255"/>
      <c r="J363" s="246"/>
      <c r="K363" s="92"/>
    </row>
    <row r="364" spans="1:11" ht="12.75">
      <c r="A364" s="237">
        <v>412113</v>
      </c>
      <c r="B364" s="237"/>
      <c r="C364" s="237" t="s">
        <v>129</v>
      </c>
      <c r="D364" s="238">
        <v>416742.75</v>
      </c>
      <c r="E364" s="286"/>
      <c r="F364" s="238"/>
      <c r="G364" s="270"/>
      <c r="H364" s="255"/>
      <c r="I364" s="255"/>
      <c r="J364" s="246"/>
      <c r="K364" s="92"/>
    </row>
    <row r="365" spans="1:11" ht="12.75">
      <c r="A365" s="240">
        <v>4121</v>
      </c>
      <c r="B365" s="240"/>
      <c r="C365" s="240" t="s">
        <v>94</v>
      </c>
      <c r="D365" s="241">
        <f>SUM(D363:D364)</f>
        <v>703301.53</v>
      </c>
      <c r="E365" s="287"/>
      <c r="F365" s="241"/>
      <c r="G365" s="270"/>
      <c r="H365" s="245"/>
      <c r="I365" s="245"/>
      <c r="J365" s="246"/>
      <c r="K365" s="92"/>
    </row>
    <row r="366" spans="1:11" ht="12.75">
      <c r="A366" s="237">
        <v>412211</v>
      </c>
      <c r="B366" s="237"/>
      <c r="C366" s="237" t="s">
        <v>14</v>
      </c>
      <c r="D366" s="238">
        <v>160212.4</v>
      </c>
      <c r="E366" s="286"/>
      <c r="F366" s="238"/>
      <c r="G366" s="270"/>
      <c r="H366" s="255"/>
      <c r="I366" s="255"/>
      <c r="J366" s="246"/>
      <c r="K366" s="92"/>
    </row>
    <row r="367" spans="1:11" ht="12.75">
      <c r="A367" s="240">
        <v>4122</v>
      </c>
      <c r="B367" s="240"/>
      <c r="C367" s="240" t="s">
        <v>14</v>
      </c>
      <c r="D367" s="241">
        <f>SUM(D366)</f>
        <v>160212.4</v>
      </c>
      <c r="E367" s="287"/>
      <c r="F367" s="241"/>
      <c r="G367" s="270"/>
      <c r="H367" s="245"/>
      <c r="I367" s="245"/>
      <c r="J367" s="246"/>
      <c r="K367" s="92"/>
    </row>
    <row r="368" spans="1:11" ht="12.75">
      <c r="A368" s="237">
        <v>412311</v>
      </c>
      <c r="B368" s="237"/>
      <c r="C368" s="237" t="s">
        <v>95</v>
      </c>
      <c r="D368" s="238">
        <v>19538.11</v>
      </c>
      <c r="E368" s="286"/>
      <c r="F368" s="238"/>
      <c r="G368" s="270"/>
      <c r="H368" s="255"/>
      <c r="I368" s="255"/>
      <c r="J368" s="246"/>
      <c r="K368" s="92"/>
    </row>
    <row r="369" spans="1:11" ht="12.75">
      <c r="A369" s="240">
        <v>4123</v>
      </c>
      <c r="B369" s="240"/>
      <c r="C369" s="240" t="s">
        <v>96</v>
      </c>
      <c r="D369" s="241">
        <f>SUM(D368)</f>
        <v>19538.11</v>
      </c>
      <c r="E369" s="287"/>
      <c r="F369" s="241"/>
      <c r="G369" s="270"/>
      <c r="H369" s="245"/>
      <c r="I369" s="245"/>
      <c r="J369" s="246"/>
      <c r="K369" s="122"/>
    </row>
    <row r="370" spans="1:11" ht="12.75">
      <c r="A370" s="240"/>
      <c r="B370" s="256">
        <f>D370*100/5218134.99</f>
        <v>66.57263939429056</v>
      </c>
      <c r="C370" s="240" t="s">
        <v>174</v>
      </c>
      <c r="D370" s="241">
        <f>D369+D367+D365+D362</f>
        <v>3473850.19</v>
      </c>
      <c r="E370" s="287">
        <f>3930000+29100425-29034000</f>
        <v>3996425</v>
      </c>
      <c r="F370" s="241">
        <f>D370*100/E370</f>
        <v>86.92394302407777</v>
      </c>
      <c r="G370" s="270"/>
      <c r="H370" s="245"/>
      <c r="I370" s="245"/>
      <c r="J370" s="280"/>
      <c r="K370" s="125"/>
    </row>
    <row r="371" spans="1:11" ht="12.75">
      <c r="A371" s="237">
        <v>413151</v>
      </c>
      <c r="B371" s="239"/>
      <c r="C371" s="237" t="s">
        <v>15</v>
      </c>
      <c r="D371" s="238">
        <v>34400</v>
      </c>
      <c r="E371" s="286"/>
      <c r="F371" s="238"/>
      <c r="G371" s="270"/>
      <c r="H371" s="255"/>
      <c r="I371" s="255"/>
      <c r="J371" s="246"/>
      <c r="K371" s="122"/>
    </row>
    <row r="372" spans="1:11" ht="12.75">
      <c r="A372" s="237">
        <v>415112</v>
      </c>
      <c r="B372" s="239"/>
      <c r="C372" s="237" t="s">
        <v>21</v>
      </c>
      <c r="D372" s="238">
        <v>154975.68</v>
      </c>
      <c r="E372" s="286"/>
      <c r="F372" s="238"/>
      <c r="G372" s="270"/>
      <c r="H372" s="255"/>
      <c r="I372" s="255"/>
      <c r="J372" s="246"/>
      <c r="K372" s="122"/>
    </row>
    <row r="373" spans="1:11" ht="12.75">
      <c r="A373" s="240">
        <v>4131</v>
      </c>
      <c r="B373" s="256">
        <f>D373*100/5218134.99</f>
        <v>3.6291832304629588</v>
      </c>
      <c r="C373" s="240" t="s">
        <v>299</v>
      </c>
      <c r="D373" s="241">
        <f>SUM(D371:D372)</f>
        <v>189375.68</v>
      </c>
      <c r="E373" s="287">
        <v>337300</v>
      </c>
      <c r="F373" s="241">
        <f>D373*100/E373</f>
        <v>56.14458345686332</v>
      </c>
      <c r="G373" s="270"/>
      <c r="H373" s="245"/>
      <c r="I373" s="245"/>
      <c r="J373" s="245"/>
      <c r="K373" s="113"/>
    </row>
    <row r="374" spans="1:11" ht="12.75">
      <c r="A374" s="237">
        <v>414111</v>
      </c>
      <c r="B374" s="237"/>
      <c r="C374" s="237" t="s">
        <v>16</v>
      </c>
      <c r="D374" s="238"/>
      <c r="E374" s="286"/>
      <c r="F374" s="238"/>
      <c r="G374" s="270"/>
      <c r="H374" s="255"/>
      <c r="I374" s="255"/>
      <c r="J374" s="246"/>
      <c r="K374" s="122"/>
    </row>
    <row r="375" spans="1:11" ht="12.75">
      <c r="A375" s="237">
        <v>414121</v>
      </c>
      <c r="B375" s="237"/>
      <c r="C375" s="237" t="s">
        <v>17</v>
      </c>
      <c r="D375" s="238"/>
      <c r="E375" s="286"/>
      <c r="F375" s="238"/>
      <c r="G375" s="270"/>
      <c r="H375" s="255"/>
      <c r="I375" s="255"/>
      <c r="J375" s="246"/>
      <c r="K375" s="122"/>
    </row>
    <row r="376" spans="1:11" ht="12.75">
      <c r="A376" s="237">
        <v>414131</v>
      </c>
      <c r="B376" s="237"/>
      <c r="C376" s="237" t="s">
        <v>18</v>
      </c>
      <c r="D376" s="238">
        <v>62203.1</v>
      </c>
      <c r="E376" s="286"/>
      <c r="F376" s="238"/>
      <c r="G376" s="270"/>
      <c r="H376" s="255"/>
      <c r="I376" s="255"/>
      <c r="J376" s="246"/>
      <c r="K376" s="122"/>
    </row>
    <row r="377" spans="1:11" ht="12.75">
      <c r="A377" s="240">
        <v>4141</v>
      </c>
      <c r="B377" s="256">
        <f>D377*100/5218134.99</f>
        <v>1.1920561679451684</v>
      </c>
      <c r="C377" s="240" t="s">
        <v>98</v>
      </c>
      <c r="D377" s="241">
        <f>SUM(D374:D376)</f>
        <v>62203.1</v>
      </c>
      <c r="E377" s="287"/>
      <c r="F377" s="241"/>
      <c r="G377" s="270"/>
      <c r="H377" s="245"/>
      <c r="I377" s="245"/>
      <c r="J377" s="246"/>
      <c r="K377" s="122"/>
    </row>
    <row r="378" spans="1:11" ht="12.75">
      <c r="A378" s="240"/>
      <c r="B378" s="256">
        <f>D378*100/5218134.99</f>
        <v>24.040045771219113</v>
      </c>
      <c r="C378" s="240" t="s">
        <v>179</v>
      </c>
      <c r="D378" s="241">
        <f>D381+D383+D386+D392+D400+D405+D407+D411+D414+D417+D419+D421+D423+D429+D444+D448+D450+D452+D456+D460+D466+D468+D472</f>
        <v>1254442.0399999998</v>
      </c>
      <c r="E378" s="287">
        <v>1530000</v>
      </c>
      <c r="F378" s="241">
        <f>D378*100/E378</f>
        <v>81.98967581699345</v>
      </c>
      <c r="G378" s="270"/>
      <c r="H378" s="245"/>
      <c r="I378" s="245"/>
      <c r="J378" s="245"/>
      <c r="K378" s="113"/>
    </row>
    <row r="379" spans="1:11" ht="12.75">
      <c r="A379" s="237">
        <v>414311</v>
      </c>
      <c r="B379" s="239"/>
      <c r="C379" s="237" t="s">
        <v>19</v>
      </c>
      <c r="D379" s="238">
        <v>165999</v>
      </c>
      <c r="E379" s="286"/>
      <c r="F379" s="238"/>
      <c r="G379" s="270"/>
      <c r="H379" s="255"/>
      <c r="I379" s="255"/>
      <c r="J379" s="246"/>
      <c r="K379" s="122"/>
    </row>
    <row r="380" spans="1:11" ht="12.75">
      <c r="A380" s="237">
        <v>414314</v>
      </c>
      <c r="B380" s="237"/>
      <c r="C380" s="237" t="s">
        <v>20</v>
      </c>
      <c r="D380" s="238">
        <v>136782</v>
      </c>
      <c r="E380" s="286"/>
      <c r="F380" s="238"/>
      <c r="G380" s="270"/>
      <c r="H380" s="255"/>
      <c r="I380" s="255"/>
      <c r="J380" s="246"/>
      <c r="K380" s="92"/>
    </row>
    <row r="381" spans="1:11" ht="12.75">
      <c r="A381" s="240">
        <v>4143</v>
      </c>
      <c r="B381" s="240"/>
      <c r="C381" s="240" t="s">
        <v>99</v>
      </c>
      <c r="D381" s="241">
        <f>SUM(D379:D380)</f>
        <v>302781</v>
      </c>
      <c r="E381" s="287"/>
      <c r="F381" s="241"/>
      <c r="G381" s="270"/>
      <c r="H381" s="245"/>
      <c r="I381" s="245"/>
      <c r="J381" s="246"/>
      <c r="K381" s="92"/>
    </row>
    <row r="382" spans="1:11" ht="12.75">
      <c r="A382" s="237">
        <v>421111</v>
      </c>
      <c r="B382" s="237"/>
      <c r="C382" s="237" t="s">
        <v>22</v>
      </c>
      <c r="D382" s="238">
        <f>41210.21+4976.8</f>
        <v>46187.01</v>
      </c>
      <c r="E382" s="286"/>
      <c r="F382" s="238"/>
      <c r="G382" s="270"/>
      <c r="H382" s="255"/>
      <c r="I382" s="255"/>
      <c r="J382" s="246"/>
      <c r="K382" s="92"/>
    </row>
    <row r="383" spans="1:11" ht="12.75">
      <c r="A383" s="240">
        <v>4211</v>
      </c>
      <c r="B383" s="240"/>
      <c r="C383" s="240" t="s">
        <v>101</v>
      </c>
      <c r="D383" s="241">
        <f>SUM(D382)</f>
        <v>46187.01</v>
      </c>
      <c r="E383" s="287"/>
      <c r="F383" s="241"/>
      <c r="G383" s="270"/>
      <c r="H383" s="245"/>
      <c r="I383" s="245"/>
      <c r="J383" s="280"/>
      <c r="K383" s="120"/>
    </row>
    <row r="384" spans="1:11" ht="12.75">
      <c r="A384" s="237">
        <v>421311</v>
      </c>
      <c r="B384" s="237"/>
      <c r="C384" s="237" t="s">
        <v>25</v>
      </c>
      <c r="D384" s="238"/>
      <c r="E384" s="286"/>
      <c r="F384" s="238"/>
      <c r="G384" s="270"/>
      <c r="H384" s="255"/>
      <c r="I384" s="255"/>
      <c r="J384" s="246"/>
      <c r="K384" s="92"/>
    </row>
    <row r="385" spans="1:11" ht="12.75">
      <c r="A385" s="237">
        <v>421324</v>
      </c>
      <c r="B385" s="237"/>
      <c r="C385" s="237" t="s">
        <v>26</v>
      </c>
      <c r="D385" s="238">
        <v>49971.93</v>
      </c>
      <c r="E385" s="286"/>
      <c r="F385" s="238"/>
      <c r="G385" s="270"/>
      <c r="H385" s="255"/>
      <c r="I385" s="255"/>
      <c r="J385" s="246"/>
      <c r="K385" s="92"/>
    </row>
    <row r="386" spans="1:11" ht="12.75">
      <c r="A386" s="240">
        <v>4213</v>
      </c>
      <c r="B386" s="240"/>
      <c r="C386" s="240" t="s">
        <v>103</v>
      </c>
      <c r="D386" s="241">
        <f>SUM(D384:D385)</f>
        <v>49971.93</v>
      </c>
      <c r="E386" s="287"/>
      <c r="F386" s="241"/>
      <c r="G386" s="270"/>
      <c r="H386" s="245"/>
      <c r="I386" s="245"/>
      <c r="J386" s="280"/>
      <c r="K386" s="92"/>
    </row>
    <row r="387" spans="1:11" ht="12.75">
      <c r="A387" s="237">
        <v>421411</v>
      </c>
      <c r="B387" s="237"/>
      <c r="C387" s="237" t="s">
        <v>27</v>
      </c>
      <c r="D387" s="238"/>
      <c r="E387" s="286"/>
      <c r="F387" s="238"/>
      <c r="G387" s="270"/>
      <c r="H387" s="255"/>
      <c r="I387" s="255"/>
      <c r="J387" s="246"/>
      <c r="K387" s="92"/>
    </row>
    <row r="388" spans="1:11" ht="12.75">
      <c r="A388" s="237">
        <v>421412</v>
      </c>
      <c r="B388" s="237"/>
      <c r="C388" s="237" t="s">
        <v>28</v>
      </c>
      <c r="D388" s="238">
        <v>11800</v>
      </c>
      <c r="E388" s="286"/>
      <c r="F388" s="238"/>
      <c r="G388" s="270"/>
      <c r="H388" s="255"/>
      <c r="I388" s="255"/>
      <c r="J388" s="246"/>
      <c r="K388" s="92"/>
    </row>
    <row r="389" spans="1:11" ht="12.75">
      <c r="A389" s="237">
        <v>421414</v>
      </c>
      <c r="B389" s="237"/>
      <c r="C389" s="237" t="s">
        <v>29</v>
      </c>
      <c r="D389" s="238">
        <v>14139.92</v>
      </c>
      <c r="E389" s="286"/>
      <c r="F389" s="238"/>
      <c r="G389" s="270"/>
      <c r="H389" s="255"/>
      <c r="I389" s="255"/>
      <c r="J389" s="246"/>
      <c r="K389" s="92"/>
    </row>
    <row r="390" spans="1:11" ht="12.75">
      <c r="A390" s="237">
        <v>421421</v>
      </c>
      <c r="B390" s="237"/>
      <c r="C390" s="237" t="s">
        <v>30</v>
      </c>
      <c r="D390" s="238"/>
      <c r="E390" s="286"/>
      <c r="F390" s="238"/>
      <c r="G390" s="270"/>
      <c r="H390" s="255"/>
      <c r="I390" s="255"/>
      <c r="J390" s="246"/>
      <c r="K390" s="92"/>
    </row>
    <row r="391" spans="1:11" ht="12.75">
      <c r="A391" s="237">
        <v>421422</v>
      </c>
      <c r="B391" s="237"/>
      <c r="C391" s="237" t="s">
        <v>31</v>
      </c>
      <c r="D391" s="238"/>
      <c r="E391" s="286"/>
      <c r="F391" s="238"/>
      <c r="G391" s="270"/>
      <c r="H391" s="255"/>
      <c r="I391" s="255"/>
      <c r="J391" s="246"/>
      <c r="K391" s="92"/>
    </row>
    <row r="392" spans="1:11" ht="12.75">
      <c r="A392" s="240">
        <v>4214</v>
      </c>
      <c r="B392" s="240"/>
      <c r="C392" s="240" t="s">
        <v>104</v>
      </c>
      <c r="D392" s="241">
        <f>SUM(D387:D391)</f>
        <v>25939.92</v>
      </c>
      <c r="E392" s="287"/>
      <c r="F392" s="241"/>
      <c r="G392" s="270"/>
      <c r="H392" s="245"/>
      <c r="I392" s="245"/>
      <c r="J392" s="280"/>
      <c r="K392" s="92"/>
    </row>
    <row r="393" spans="1:11" ht="12.75">
      <c r="A393" s="237">
        <v>421512</v>
      </c>
      <c r="B393" s="237"/>
      <c r="C393" s="237" t="s">
        <v>32</v>
      </c>
      <c r="D393" s="238">
        <v>600</v>
      </c>
      <c r="E393" s="286"/>
      <c r="F393" s="238"/>
      <c r="G393" s="270"/>
      <c r="H393" s="255"/>
      <c r="I393" s="255"/>
      <c r="J393" s="246"/>
      <c r="K393" s="92"/>
    </row>
    <row r="394" spans="1:11" ht="12.75">
      <c r="A394" s="237">
        <v>421513</v>
      </c>
      <c r="B394" s="237"/>
      <c r="C394" s="237" t="s">
        <v>33</v>
      </c>
      <c r="D394" s="238"/>
      <c r="E394" s="286"/>
      <c r="F394" s="238"/>
      <c r="G394" s="270"/>
      <c r="H394" s="255"/>
      <c r="I394" s="255"/>
      <c r="J394" s="246"/>
      <c r="K394" s="92"/>
    </row>
    <row r="395" spans="1:11" ht="12.75">
      <c r="A395" s="237">
        <v>421519</v>
      </c>
      <c r="B395" s="237"/>
      <c r="C395" s="237" t="s">
        <v>34</v>
      </c>
      <c r="D395" s="238"/>
      <c r="E395" s="238"/>
      <c r="F395" s="238"/>
      <c r="G395" s="270"/>
      <c r="H395" s="255"/>
      <c r="I395" s="255"/>
      <c r="J395" s="246"/>
      <c r="K395" s="92"/>
    </row>
    <row r="396" spans="1:11" ht="12.75">
      <c r="A396" s="237">
        <v>421521</v>
      </c>
      <c r="B396" s="237"/>
      <c r="C396" s="237" t="s">
        <v>35</v>
      </c>
      <c r="D396" s="238"/>
      <c r="E396" s="238"/>
      <c r="F396" s="238"/>
      <c r="G396" s="270"/>
      <c r="H396" s="255"/>
      <c r="I396" s="255"/>
      <c r="J396" s="246"/>
      <c r="K396" s="92"/>
    </row>
    <row r="397" spans="1:11" ht="12.75">
      <c r="A397" s="231" t="s">
        <v>298</v>
      </c>
      <c r="B397" s="231"/>
      <c r="C397" s="231"/>
      <c r="D397" s="278"/>
      <c r="E397" s="280"/>
      <c r="F397" s="273"/>
      <c r="G397" s="230"/>
      <c r="H397" s="255"/>
      <c r="I397" s="255"/>
      <c r="J397" s="246"/>
      <c r="K397" s="92"/>
    </row>
    <row r="398" spans="1:11" ht="12.75">
      <c r="A398" s="231" t="s">
        <v>235</v>
      </c>
      <c r="B398" s="231"/>
      <c r="C398" s="231"/>
      <c r="D398" s="230"/>
      <c r="E398" s="230"/>
      <c r="F398" s="230"/>
      <c r="G398" s="228" t="s">
        <v>236</v>
      </c>
      <c r="H398" s="255"/>
      <c r="I398" s="255"/>
      <c r="J398" s="246"/>
      <c r="K398" s="92"/>
    </row>
    <row r="399" spans="1:11" ht="33.75">
      <c r="A399" s="232" t="s">
        <v>0</v>
      </c>
      <c r="B399" s="232" t="s">
        <v>208</v>
      </c>
      <c r="C399" s="232" t="s">
        <v>1</v>
      </c>
      <c r="D399" s="232" t="s">
        <v>200</v>
      </c>
      <c r="E399" s="232" t="s">
        <v>201</v>
      </c>
      <c r="F399" s="233" t="s">
        <v>170</v>
      </c>
      <c r="G399" s="279"/>
      <c r="H399" s="255"/>
      <c r="I399" s="255"/>
      <c r="J399" s="246"/>
      <c r="K399" s="92"/>
    </row>
    <row r="400" spans="1:11" ht="12.75">
      <c r="A400" s="240">
        <v>4215</v>
      </c>
      <c r="B400" s="240"/>
      <c r="C400" s="240" t="s">
        <v>169</v>
      </c>
      <c r="D400" s="241">
        <f>SUM(D393:D396)</f>
        <v>600</v>
      </c>
      <c r="E400" s="241"/>
      <c r="F400" s="241"/>
      <c r="G400" s="270"/>
      <c r="H400" s="245"/>
      <c r="I400" s="245"/>
      <c r="J400" s="280"/>
      <c r="K400" s="92"/>
    </row>
    <row r="401" spans="1:11" ht="12.75">
      <c r="A401" s="237">
        <v>422111</v>
      </c>
      <c r="B401" s="237"/>
      <c r="C401" s="237" t="s">
        <v>36</v>
      </c>
      <c r="D401" s="238">
        <v>42400</v>
      </c>
      <c r="E401" s="238"/>
      <c r="F401" s="238"/>
      <c r="G401" s="270"/>
      <c r="H401" s="255"/>
      <c r="I401" s="255"/>
      <c r="J401" s="246"/>
      <c r="K401" s="92"/>
    </row>
    <row r="402" spans="1:11" ht="12.75">
      <c r="A402" s="237">
        <v>422121</v>
      </c>
      <c r="B402" s="237"/>
      <c r="C402" s="237" t="s">
        <v>37</v>
      </c>
      <c r="D402" s="238">
        <v>29806.81</v>
      </c>
      <c r="E402" s="238"/>
      <c r="F402" s="238"/>
      <c r="G402" s="270"/>
      <c r="H402" s="255"/>
      <c r="I402" s="255"/>
      <c r="J402" s="246"/>
      <c r="K402" s="92"/>
    </row>
    <row r="403" spans="1:11" ht="12.75">
      <c r="A403" s="237">
        <v>422194</v>
      </c>
      <c r="B403" s="237"/>
      <c r="C403" s="237" t="s">
        <v>38</v>
      </c>
      <c r="D403" s="238"/>
      <c r="E403" s="238"/>
      <c r="F403" s="238"/>
      <c r="G403" s="270"/>
      <c r="H403" s="255"/>
      <c r="I403" s="255"/>
      <c r="J403" s="246"/>
      <c r="K403" s="92"/>
    </row>
    <row r="404" spans="1:11" ht="12.75">
      <c r="A404" s="237">
        <v>422199</v>
      </c>
      <c r="B404" s="237"/>
      <c r="C404" s="237" t="s">
        <v>39</v>
      </c>
      <c r="D404" s="238">
        <v>15600</v>
      </c>
      <c r="E404" s="238"/>
      <c r="F404" s="238"/>
      <c r="G404" s="270"/>
      <c r="H404" s="255"/>
      <c r="I404" s="255"/>
      <c r="J404" s="246"/>
      <c r="K404" s="92"/>
    </row>
    <row r="405" spans="1:11" ht="12.75">
      <c r="A405" s="240">
        <v>4221</v>
      </c>
      <c r="B405" s="240"/>
      <c r="C405" s="240" t="s">
        <v>105</v>
      </c>
      <c r="D405" s="241">
        <f>SUM(D401:D404)</f>
        <v>87806.81</v>
      </c>
      <c r="E405" s="287"/>
      <c r="F405" s="241"/>
      <c r="G405" s="270"/>
      <c r="H405" s="245"/>
      <c r="I405" s="245"/>
      <c r="J405" s="246"/>
      <c r="K405" s="92"/>
    </row>
    <row r="406" spans="1:11" ht="12.75">
      <c r="A406" s="237">
        <v>423291</v>
      </c>
      <c r="B406" s="237"/>
      <c r="C406" s="237" t="s">
        <v>40</v>
      </c>
      <c r="D406" s="238">
        <v>23600</v>
      </c>
      <c r="E406" s="286"/>
      <c r="F406" s="238"/>
      <c r="G406" s="270"/>
      <c r="H406" s="255"/>
      <c r="I406" s="255"/>
      <c r="J406" s="246"/>
      <c r="K406" s="92"/>
    </row>
    <row r="407" spans="1:11" ht="12.75">
      <c r="A407" s="240">
        <v>4232</v>
      </c>
      <c r="B407" s="240"/>
      <c r="C407" s="240" t="s">
        <v>106</v>
      </c>
      <c r="D407" s="241">
        <f>SUM(D406)</f>
        <v>23600</v>
      </c>
      <c r="E407" s="287"/>
      <c r="F407" s="241"/>
      <c r="G407" s="270"/>
      <c r="H407" s="245"/>
      <c r="I407" s="245"/>
      <c r="J407" s="280"/>
      <c r="K407" s="92"/>
    </row>
    <row r="408" spans="1:11" ht="12.75">
      <c r="A408" s="237">
        <v>423311</v>
      </c>
      <c r="B408" s="237"/>
      <c r="C408" s="237" t="s">
        <v>42</v>
      </c>
      <c r="D408" s="238">
        <v>90000</v>
      </c>
      <c r="E408" s="286"/>
      <c r="F408" s="238"/>
      <c r="G408" s="270"/>
      <c r="H408" s="255"/>
      <c r="I408" s="255"/>
      <c r="J408" s="246"/>
      <c r="K408" s="92"/>
    </row>
    <row r="409" spans="1:11" ht="12.75">
      <c r="A409" s="237">
        <v>423321</v>
      </c>
      <c r="B409" s="237"/>
      <c r="C409" s="237" t="s">
        <v>41</v>
      </c>
      <c r="D409" s="238">
        <v>2720</v>
      </c>
      <c r="E409" s="286"/>
      <c r="F409" s="238"/>
      <c r="G409" s="270"/>
      <c r="H409" s="255"/>
      <c r="I409" s="255"/>
      <c r="J409" s="246"/>
      <c r="K409" s="92"/>
    </row>
    <row r="410" spans="1:11" ht="12.75">
      <c r="A410" s="237">
        <v>4233910</v>
      </c>
      <c r="B410" s="237"/>
      <c r="C410" s="237" t="s">
        <v>130</v>
      </c>
      <c r="D410" s="238">
        <v>62307.99</v>
      </c>
      <c r="E410" s="286"/>
      <c r="F410" s="238"/>
      <c r="G410" s="270"/>
      <c r="H410" s="255"/>
      <c r="I410" s="255"/>
      <c r="J410" s="246"/>
      <c r="K410" s="92"/>
    </row>
    <row r="411" spans="1:11" ht="12.75">
      <c r="A411" s="240">
        <v>4233</v>
      </c>
      <c r="B411" s="240"/>
      <c r="C411" s="240" t="s">
        <v>107</v>
      </c>
      <c r="D411" s="241">
        <f>SUM(D408:D410)</f>
        <v>155027.99</v>
      </c>
      <c r="E411" s="287"/>
      <c r="F411" s="241"/>
      <c r="G411" s="270"/>
      <c r="H411" s="245"/>
      <c r="I411" s="245"/>
      <c r="J411" s="246"/>
      <c r="K411" s="92"/>
    </row>
    <row r="412" spans="1:11" ht="12.75">
      <c r="A412" s="237">
        <v>423421</v>
      </c>
      <c r="B412" s="237"/>
      <c r="C412" s="237" t="s">
        <v>43</v>
      </c>
      <c r="D412" s="238">
        <v>6499.99</v>
      </c>
      <c r="E412" s="286"/>
      <c r="F412" s="238"/>
      <c r="G412" s="270"/>
      <c r="H412" s="255"/>
      <c r="I412" s="255"/>
      <c r="J412" s="246"/>
      <c r="K412" s="92"/>
    </row>
    <row r="413" spans="1:11" ht="12.75">
      <c r="A413" s="252">
        <v>423432</v>
      </c>
      <c r="B413" s="252"/>
      <c r="C413" s="252" t="s">
        <v>44</v>
      </c>
      <c r="D413" s="253">
        <v>53980.44</v>
      </c>
      <c r="E413" s="291"/>
      <c r="F413" s="238"/>
      <c r="G413" s="270"/>
      <c r="H413" s="255"/>
      <c r="I413" s="255"/>
      <c r="J413" s="246"/>
      <c r="K413" s="92"/>
    </row>
    <row r="414" spans="1:11" ht="12.75">
      <c r="A414" s="240">
        <v>4234</v>
      </c>
      <c r="B414" s="240"/>
      <c r="C414" s="240" t="s">
        <v>108</v>
      </c>
      <c r="D414" s="241">
        <f>SUM(D412:D413)</f>
        <v>60480.43</v>
      </c>
      <c r="E414" s="287"/>
      <c r="F414" s="241"/>
      <c r="G414" s="270"/>
      <c r="H414" s="245"/>
      <c r="I414" s="245"/>
      <c r="J414" s="246"/>
      <c r="K414" s="92"/>
    </row>
    <row r="415" spans="1:11" ht="12.75">
      <c r="A415" s="237">
        <v>423539</v>
      </c>
      <c r="B415" s="237"/>
      <c r="C415" s="237" t="s">
        <v>131</v>
      </c>
      <c r="D415" s="238">
        <v>88000</v>
      </c>
      <c r="E415" s="286"/>
      <c r="F415" s="238"/>
      <c r="G415" s="270"/>
      <c r="H415" s="255"/>
      <c r="I415" s="255"/>
      <c r="J415" s="246"/>
      <c r="K415" s="92"/>
    </row>
    <row r="416" spans="1:11" ht="12.75">
      <c r="A416" s="237">
        <v>423599</v>
      </c>
      <c r="B416" s="237"/>
      <c r="C416" s="237" t="s">
        <v>45</v>
      </c>
      <c r="D416" s="238">
        <v>101790.15</v>
      </c>
      <c r="E416" s="286"/>
      <c r="F416" s="238"/>
      <c r="G416" s="270"/>
      <c r="H416" s="255"/>
      <c r="I416" s="255"/>
      <c r="J416" s="246"/>
      <c r="K416" s="92"/>
    </row>
    <row r="417" spans="1:11" ht="12.75">
      <c r="A417" s="240">
        <v>4235</v>
      </c>
      <c r="B417" s="240"/>
      <c r="C417" s="240" t="s">
        <v>109</v>
      </c>
      <c r="D417" s="241">
        <f>SUM(D415:D416)</f>
        <v>189790.15</v>
      </c>
      <c r="E417" s="287"/>
      <c r="F417" s="241"/>
      <c r="G417" s="270"/>
      <c r="H417" s="245"/>
      <c r="I417" s="245"/>
      <c r="J417" s="246"/>
      <c r="K417" s="92"/>
    </row>
    <row r="418" spans="1:11" ht="12.75">
      <c r="A418" s="237">
        <v>423611</v>
      </c>
      <c r="B418" s="237"/>
      <c r="C418" s="237" t="s">
        <v>46</v>
      </c>
      <c r="D418" s="238"/>
      <c r="E418" s="286"/>
      <c r="F418" s="238"/>
      <c r="G418" s="270"/>
      <c r="H418" s="255"/>
      <c r="I418" s="255"/>
      <c r="J418" s="246"/>
      <c r="K418" s="92"/>
    </row>
    <row r="419" spans="1:11" ht="12.75">
      <c r="A419" s="240">
        <v>4236</v>
      </c>
      <c r="B419" s="240"/>
      <c r="C419" s="240" t="s">
        <v>110</v>
      </c>
      <c r="D419" s="241"/>
      <c r="E419" s="287"/>
      <c r="F419" s="241"/>
      <c r="G419" s="270"/>
      <c r="H419" s="245"/>
      <c r="I419" s="245"/>
      <c r="J419" s="280"/>
      <c r="K419" s="92"/>
    </row>
    <row r="420" spans="1:11" ht="12.75">
      <c r="A420" s="237">
        <v>423711</v>
      </c>
      <c r="B420" s="237"/>
      <c r="C420" s="237" t="s">
        <v>47</v>
      </c>
      <c r="D420" s="238">
        <v>6768.34</v>
      </c>
      <c r="E420" s="286"/>
      <c r="F420" s="238"/>
      <c r="G420" s="270"/>
      <c r="H420" s="255"/>
      <c r="I420" s="255"/>
      <c r="J420" s="246"/>
      <c r="K420" s="92"/>
    </row>
    <row r="421" spans="1:11" ht="12.75">
      <c r="A421" s="240">
        <v>4237</v>
      </c>
      <c r="B421" s="240"/>
      <c r="C421" s="240" t="s">
        <v>47</v>
      </c>
      <c r="D421" s="241">
        <f>SUM(D420)</f>
        <v>6768.34</v>
      </c>
      <c r="E421" s="287"/>
      <c r="F421" s="241"/>
      <c r="G421" s="270"/>
      <c r="H421" s="245"/>
      <c r="I421" s="245"/>
      <c r="J421" s="246"/>
      <c r="K421" s="92"/>
    </row>
    <row r="422" spans="1:11" ht="12.75">
      <c r="A422" s="237">
        <v>423911</v>
      </c>
      <c r="B422" s="237"/>
      <c r="C422" s="237" t="s">
        <v>48</v>
      </c>
      <c r="D422" s="238"/>
      <c r="E422" s="286"/>
      <c r="F422" s="238"/>
      <c r="G422" s="270"/>
      <c r="H422" s="255"/>
      <c r="I422" s="255"/>
      <c r="J422" s="246"/>
      <c r="K422" s="92"/>
    </row>
    <row r="423" spans="1:11" ht="12.75">
      <c r="A423" s="240">
        <v>4239</v>
      </c>
      <c r="B423" s="240"/>
      <c r="C423" s="240" t="s">
        <v>48</v>
      </c>
      <c r="D423" s="241"/>
      <c r="E423" s="287"/>
      <c r="F423" s="241"/>
      <c r="G423" s="270"/>
      <c r="H423" s="245"/>
      <c r="I423" s="245"/>
      <c r="J423" s="280"/>
      <c r="K423" s="92"/>
    </row>
    <row r="424" spans="1:11" ht="12.75">
      <c r="A424" s="237">
        <v>424351</v>
      </c>
      <c r="B424" s="237"/>
      <c r="C424" s="237" t="s">
        <v>49</v>
      </c>
      <c r="D424" s="238"/>
      <c r="E424" s="286"/>
      <c r="F424" s="238"/>
      <c r="G424" s="270"/>
      <c r="H424" s="255"/>
      <c r="I424" s="255"/>
      <c r="J424" s="246"/>
      <c r="K424" s="92"/>
    </row>
    <row r="425" spans="1:11" ht="12.75">
      <c r="A425" s="240">
        <v>4243</v>
      </c>
      <c r="B425" s="240"/>
      <c r="C425" s="240" t="s">
        <v>111</v>
      </c>
      <c r="D425" s="241"/>
      <c r="E425" s="287"/>
      <c r="F425" s="241"/>
      <c r="G425" s="270"/>
      <c r="H425" s="245"/>
      <c r="I425" s="245"/>
      <c r="J425" s="280"/>
      <c r="K425" s="92"/>
    </row>
    <row r="426" spans="1:11" ht="12.75">
      <c r="A426" s="237">
        <v>425112</v>
      </c>
      <c r="B426" s="237"/>
      <c r="C426" s="237" t="s">
        <v>50</v>
      </c>
      <c r="D426" s="238"/>
      <c r="E426" s="286"/>
      <c r="F426" s="238"/>
      <c r="G426" s="270"/>
      <c r="H426" s="255"/>
      <c r="I426" s="255"/>
      <c r="J426" s="246"/>
      <c r="K426" s="92"/>
    </row>
    <row r="427" spans="1:11" ht="12.75">
      <c r="A427" s="237">
        <v>425115</v>
      </c>
      <c r="B427" s="237"/>
      <c r="C427" s="237" t="s">
        <v>51</v>
      </c>
      <c r="D427" s="238"/>
      <c r="E427" s="286"/>
      <c r="F427" s="238"/>
      <c r="G427" s="270"/>
      <c r="H427" s="255"/>
      <c r="I427" s="255"/>
      <c r="J427" s="246"/>
      <c r="K427" s="92"/>
    </row>
    <row r="428" spans="1:11" ht="12.75">
      <c r="A428" s="237">
        <v>425117</v>
      </c>
      <c r="B428" s="237"/>
      <c r="C428" s="237" t="s">
        <v>52</v>
      </c>
      <c r="D428" s="238">
        <v>19911.32</v>
      </c>
      <c r="E428" s="286"/>
      <c r="F428" s="238"/>
      <c r="G428" s="270"/>
      <c r="H428" s="255"/>
      <c r="I428" s="255"/>
      <c r="J428" s="246"/>
      <c r="K428" s="92"/>
    </row>
    <row r="429" spans="1:11" ht="12.75">
      <c r="A429" s="240">
        <v>4251</v>
      </c>
      <c r="B429" s="240"/>
      <c r="C429" s="240" t="s">
        <v>112</v>
      </c>
      <c r="D429" s="241">
        <f>SUM(D424:D428)</f>
        <v>19911.32</v>
      </c>
      <c r="E429" s="287"/>
      <c r="F429" s="241"/>
      <c r="G429" s="270"/>
      <c r="H429" s="245"/>
      <c r="I429" s="245"/>
      <c r="J429" s="280"/>
      <c r="K429" s="92"/>
    </row>
    <row r="430" spans="1:11" ht="12.75">
      <c r="A430" s="237">
        <v>425211</v>
      </c>
      <c r="B430" s="237"/>
      <c r="C430" s="237" t="s">
        <v>53</v>
      </c>
      <c r="D430" s="238"/>
      <c r="E430" s="286"/>
      <c r="F430" s="238"/>
      <c r="G430" s="270"/>
      <c r="H430" s="255"/>
      <c r="I430" s="255"/>
      <c r="J430" s="246"/>
      <c r="K430" s="92"/>
    </row>
    <row r="431" spans="1:11" ht="12.75">
      <c r="A431" s="237">
        <v>425212</v>
      </c>
      <c r="B431" s="237"/>
      <c r="C431" s="237" t="s">
        <v>54</v>
      </c>
      <c r="D431" s="238"/>
      <c r="E431" s="286"/>
      <c r="F431" s="238"/>
      <c r="G431" s="270"/>
      <c r="H431" s="255"/>
      <c r="I431" s="255"/>
      <c r="J431" s="246"/>
      <c r="K431" s="92"/>
    </row>
    <row r="432" spans="1:11" ht="12.75">
      <c r="A432" s="237">
        <v>425213</v>
      </c>
      <c r="B432" s="237"/>
      <c r="C432" s="237" t="s">
        <v>55</v>
      </c>
      <c r="D432" s="238"/>
      <c r="E432" s="286"/>
      <c r="F432" s="238"/>
      <c r="G432" s="270"/>
      <c r="H432" s="255"/>
      <c r="I432" s="255"/>
      <c r="J432" s="246"/>
      <c r="K432" s="92"/>
    </row>
    <row r="433" spans="1:11" ht="12.75">
      <c r="A433" s="237">
        <v>425222</v>
      </c>
      <c r="B433" s="237"/>
      <c r="C433" s="237" t="s">
        <v>56</v>
      </c>
      <c r="D433" s="238"/>
      <c r="E433" s="286"/>
      <c r="F433" s="238"/>
      <c r="G433" s="270"/>
      <c r="H433" s="255"/>
      <c r="I433" s="255"/>
      <c r="J433" s="246"/>
      <c r="K433" s="92"/>
    </row>
    <row r="434" spans="1:11" ht="12.75">
      <c r="A434" s="237">
        <v>425223</v>
      </c>
      <c r="B434" s="237"/>
      <c r="C434" s="237" t="s">
        <v>57</v>
      </c>
      <c r="D434" s="238"/>
      <c r="E434" s="286"/>
      <c r="F434" s="238"/>
      <c r="G434" s="270"/>
      <c r="H434" s="255"/>
      <c r="I434" s="255"/>
      <c r="J434" s="246"/>
      <c r="K434" s="92"/>
    </row>
    <row r="435" spans="1:11" ht="12.75">
      <c r="A435" s="237">
        <v>425225</v>
      </c>
      <c r="B435" s="237"/>
      <c r="C435" s="237" t="s">
        <v>58</v>
      </c>
      <c r="D435" s="238"/>
      <c r="E435" s="238"/>
      <c r="F435" s="238"/>
      <c r="G435" s="270"/>
      <c r="H435" s="255"/>
      <c r="I435" s="255"/>
      <c r="J435" s="246"/>
      <c r="K435" s="92"/>
    </row>
    <row r="436" spans="1:11" ht="12.75">
      <c r="A436" s="237">
        <v>425251</v>
      </c>
      <c r="B436" s="237"/>
      <c r="C436" s="237" t="s">
        <v>59</v>
      </c>
      <c r="D436" s="238">
        <v>106038</v>
      </c>
      <c r="E436" s="238"/>
      <c r="F436" s="238"/>
      <c r="G436" s="270"/>
      <c r="H436" s="255"/>
      <c r="I436" s="255"/>
      <c r="J436" s="246"/>
      <c r="K436" s="92"/>
    </row>
    <row r="437" spans="1:11" ht="12.75">
      <c r="A437" s="237">
        <v>425252</v>
      </c>
      <c r="B437" s="237"/>
      <c r="C437" s="237" t="s">
        <v>60</v>
      </c>
      <c r="D437" s="238"/>
      <c r="E437" s="238"/>
      <c r="F437" s="238"/>
      <c r="G437" s="270"/>
      <c r="H437" s="255"/>
      <c r="I437" s="255"/>
      <c r="J437" s="246"/>
      <c r="K437" s="92"/>
    </row>
    <row r="438" spans="1:11" ht="12.75">
      <c r="A438" s="237">
        <v>425281</v>
      </c>
      <c r="B438" s="237"/>
      <c r="C438" s="237" t="s">
        <v>61</v>
      </c>
      <c r="D438" s="238"/>
      <c r="E438" s="238"/>
      <c r="F438" s="271"/>
      <c r="G438" s="270"/>
      <c r="H438" s="255"/>
      <c r="I438" s="255"/>
      <c r="J438" s="246"/>
      <c r="K438" s="92"/>
    </row>
    <row r="439" spans="1:11" ht="12.75">
      <c r="A439" s="237">
        <v>425291</v>
      </c>
      <c r="B439" s="237"/>
      <c r="C439" s="237" t="s">
        <v>62</v>
      </c>
      <c r="D439" s="238">
        <v>150</v>
      </c>
      <c r="E439" s="238"/>
      <c r="F439" s="271"/>
      <c r="G439" s="270"/>
      <c r="H439" s="255"/>
      <c r="I439" s="255"/>
      <c r="J439" s="246"/>
      <c r="K439" s="92"/>
    </row>
    <row r="440" spans="1:11" ht="12.75">
      <c r="A440" s="247"/>
      <c r="B440" s="247"/>
      <c r="C440" s="247"/>
      <c r="D440" s="255"/>
      <c r="E440" s="255"/>
      <c r="F440" s="270"/>
      <c r="G440" s="270"/>
      <c r="H440" s="255"/>
      <c r="I440" s="255"/>
      <c r="J440" s="246"/>
      <c r="K440" s="92"/>
    </row>
    <row r="441" spans="1:11" ht="12.75">
      <c r="A441" s="231" t="s">
        <v>298</v>
      </c>
      <c r="B441" s="231"/>
      <c r="C441" s="231"/>
      <c r="D441" s="278"/>
      <c r="E441" s="280"/>
      <c r="F441" s="273"/>
      <c r="G441" s="230"/>
      <c r="H441" s="255"/>
      <c r="I441" s="255"/>
      <c r="J441" s="246"/>
      <c r="K441" s="92"/>
    </row>
    <row r="442" spans="1:11" ht="12.75">
      <c r="A442" s="231" t="s">
        <v>235</v>
      </c>
      <c r="B442" s="231"/>
      <c r="C442" s="231"/>
      <c r="D442" s="230"/>
      <c r="E442" s="230"/>
      <c r="F442" s="230"/>
      <c r="G442" s="228" t="s">
        <v>237</v>
      </c>
      <c r="H442" s="255"/>
      <c r="I442" s="255"/>
      <c r="J442" s="246"/>
      <c r="K442" s="92"/>
    </row>
    <row r="443" spans="1:11" ht="33.75">
      <c r="A443" s="232" t="s">
        <v>0</v>
      </c>
      <c r="B443" s="232" t="s">
        <v>208</v>
      </c>
      <c r="C443" s="232" t="s">
        <v>1</v>
      </c>
      <c r="D443" s="232" t="s">
        <v>200</v>
      </c>
      <c r="E443" s="232" t="s">
        <v>201</v>
      </c>
      <c r="F443" s="233" t="s">
        <v>170</v>
      </c>
      <c r="G443" s="279"/>
      <c r="H443" s="255"/>
      <c r="I443" s="255"/>
      <c r="J443" s="246"/>
      <c r="K443" s="92"/>
    </row>
    <row r="444" spans="1:11" ht="12.75">
      <c r="A444" s="240">
        <v>4252</v>
      </c>
      <c r="B444" s="240"/>
      <c r="C444" s="240" t="s">
        <v>113</v>
      </c>
      <c r="D444" s="241">
        <v>106188</v>
      </c>
      <c r="E444" s="241"/>
      <c r="F444" s="271"/>
      <c r="G444" s="270"/>
      <c r="H444" s="245"/>
      <c r="I444" s="245"/>
      <c r="J444" s="280"/>
      <c r="K444" s="92"/>
    </row>
    <row r="445" spans="1:11" ht="12.75">
      <c r="A445" s="237">
        <v>426111</v>
      </c>
      <c r="B445" s="237"/>
      <c r="C445" s="237" t="s">
        <v>63</v>
      </c>
      <c r="D445" s="238"/>
      <c r="E445" s="238"/>
      <c r="F445" s="271"/>
      <c r="G445" s="270"/>
      <c r="H445" s="255"/>
      <c r="I445" s="255"/>
      <c r="J445" s="246"/>
      <c r="K445" s="92"/>
    </row>
    <row r="446" spans="1:11" ht="12.75">
      <c r="A446" s="237">
        <v>426121</v>
      </c>
      <c r="B446" s="237"/>
      <c r="C446" s="237" t="s">
        <v>132</v>
      </c>
      <c r="D446" s="238"/>
      <c r="E446" s="238"/>
      <c r="F446" s="271"/>
      <c r="G446" s="270"/>
      <c r="H446" s="255"/>
      <c r="I446" s="255"/>
      <c r="J446" s="246"/>
      <c r="K446" s="92"/>
    </row>
    <row r="447" spans="1:11" ht="12.75">
      <c r="A447" s="237">
        <v>426129</v>
      </c>
      <c r="B447" s="237"/>
      <c r="C447" s="237" t="s">
        <v>64</v>
      </c>
      <c r="D447" s="238"/>
      <c r="E447" s="238"/>
      <c r="F447" s="271"/>
      <c r="G447" s="270"/>
      <c r="H447" s="255"/>
      <c r="I447" s="255"/>
      <c r="J447" s="246"/>
      <c r="K447" s="92"/>
    </row>
    <row r="448" spans="1:11" ht="12.75">
      <c r="A448" s="240">
        <v>4261</v>
      </c>
      <c r="B448" s="240"/>
      <c r="C448" s="240" t="s">
        <v>114</v>
      </c>
      <c r="D448" s="241"/>
      <c r="E448" s="241"/>
      <c r="F448" s="271"/>
      <c r="G448" s="270"/>
      <c r="H448" s="245"/>
      <c r="I448" s="245"/>
      <c r="J448" s="280"/>
      <c r="K448" s="92"/>
    </row>
    <row r="449" spans="1:11" ht="12.75">
      <c r="A449" s="237">
        <v>426311</v>
      </c>
      <c r="B449" s="237"/>
      <c r="C449" s="237" t="s">
        <v>65</v>
      </c>
      <c r="D449" s="238">
        <v>77900</v>
      </c>
      <c r="E449" s="238"/>
      <c r="F449" s="271"/>
      <c r="G449" s="270"/>
      <c r="H449" s="255"/>
      <c r="I449" s="255"/>
      <c r="J449" s="246"/>
      <c r="K449" s="92"/>
    </row>
    <row r="450" spans="1:11" ht="12.75">
      <c r="A450" s="240">
        <v>4263</v>
      </c>
      <c r="B450" s="240"/>
      <c r="C450" s="240" t="s">
        <v>115</v>
      </c>
      <c r="D450" s="241">
        <f>SUM(D449)</f>
        <v>77900</v>
      </c>
      <c r="E450" s="241"/>
      <c r="F450" s="271"/>
      <c r="G450" s="270"/>
      <c r="H450" s="245"/>
      <c r="I450" s="245"/>
      <c r="J450" s="246"/>
      <c r="K450" s="92"/>
    </row>
    <row r="451" spans="1:11" ht="12.75">
      <c r="A451" s="237">
        <v>426491</v>
      </c>
      <c r="B451" s="237"/>
      <c r="C451" s="237" t="s">
        <v>69</v>
      </c>
      <c r="D451" s="238"/>
      <c r="E451" s="238"/>
      <c r="F451" s="271"/>
      <c r="G451" s="270"/>
      <c r="H451" s="255"/>
      <c r="I451" s="255"/>
      <c r="J451" s="246"/>
      <c r="K451" s="92"/>
    </row>
    <row r="452" spans="1:11" ht="12.75">
      <c r="A452" s="240">
        <v>4264</v>
      </c>
      <c r="B452" s="240"/>
      <c r="C452" s="240" t="s">
        <v>116</v>
      </c>
      <c r="D452" s="241">
        <f>SUM(D451)</f>
        <v>0</v>
      </c>
      <c r="E452" s="287"/>
      <c r="F452" s="271"/>
      <c r="G452" s="270"/>
      <c r="H452" s="245"/>
      <c r="I452" s="245"/>
      <c r="J452" s="245"/>
      <c r="K452" s="68"/>
    </row>
    <row r="453" spans="1:11" ht="12.75">
      <c r="A453" s="237">
        <v>426811</v>
      </c>
      <c r="B453" s="237"/>
      <c r="C453" s="237" t="s">
        <v>76</v>
      </c>
      <c r="D453" s="238"/>
      <c r="E453" s="286"/>
      <c r="F453" s="271"/>
      <c r="G453" s="270"/>
      <c r="H453" s="255"/>
      <c r="I453" s="255"/>
      <c r="J453" s="246"/>
      <c r="K453" s="92"/>
    </row>
    <row r="454" spans="1:11" ht="12.75">
      <c r="A454" s="237">
        <v>426812</v>
      </c>
      <c r="B454" s="237"/>
      <c r="C454" s="237" t="s">
        <v>77</v>
      </c>
      <c r="D454" s="238"/>
      <c r="E454" s="286"/>
      <c r="F454" s="271"/>
      <c r="G454" s="270"/>
      <c r="H454" s="255"/>
      <c r="I454" s="255"/>
      <c r="J454" s="246"/>
      <c r="K454" s="92"/>
    </row>
    <row r="455" spans="1:11" ht="12.75">
      <c r="A455" s="237">
        <v>426819</v>
      </c>
      <c r="B455" s="237"/>
      <c r="C455" s="237" t="s">
        <v>78</v>
      </c>
      <c r="D455" s="238"/>
      <c r="E455" s="286"/>
      <c r="F455" s="271"/>
      <c r="G455" s="270"/>
      <c r="H455" s="255"/>
      <c r="I455" s="255"/>
      <c r="J455" s="246"/>
      <c r="K455" s="92"/>
    </row>
    <row r="456" spans="1:11" ht="12.75">
      <c r="A456" s="240">
        <v>4268</v>
      </c>
      <c r="B456" s="240"/>
      <c r="C456" s="240" t="s">
        <v>118</v>
      </c>
      <c r="D456" s="241"/>
      <c r="E456" s="287"/>
      <c r="F456" s="271"/>
      <c r="G456" s="270"/>
      <c r="H456" s="245"/>
      <c r="I456" s="245"/>
      <c r="J456" s="280"/>
      <c r="K456" s="92"/>
    </row>
    <row r="457" spans="1:11" ht="12.75">
      <c r="A457" s="237">
        <v>426911</v>
      </c>
      <c r="B457" s="237"/>
      <c r="C457" s="237" t="s">
        <v>79</v>
      </c>
      <c r="D457" s="238">
        <v>1279</v>
      </c>
      <c r="E457" s="286"/>
      <c r="F457" s="271"/>
      <c r="G457" s="270"/>
      <c r="H457" s="255"/>
      <c r="I457" s="255"/>
      <c r="J457" s="246"/>
      <c r="K457" s="92"/>
    </row>
    <row r="458" spans="1:11" ht="12.75">
      <c r="A458" s="237">
        <v>426913</v>
      </c>
      <c r="B458" s="237"/>
      <c r="C458" s="237" t="s">
        <v>80</v>
      </c>
      <c r="D458" s="238">
        <v>1000</v>
      </c>
      <c r="E458" s="286"/>
      <c r="F458" s="271"/>
      <c r="G458" s="270"/>
      <c r="H458" s="255"/>
      <c r="I458" s="255"/>
      <c r="J458" s="246"/>
      <c r="K458" s="92"/>
    </row>
    <row r="459" spans="1:11" ht="12.75">
      <c r="A459" s="237">
        <v>426919</v>
      </c>
      <c r="B459" s="237"/>
      <c r="C459" s="237" t="s">
        <v>186</v>
      </c>
      <c r="D459" s="238"/>
      <c r="E459" s="286">
        <v>2686275</v>
      </c>
      <c r="F459" s="271"/>
      <c r="G459" s="270"/>
      <c r="H459" s="255"/>
      <c r="I459" s="255"/>
      <c r="J459" s="246"/>
      <c r="K459" s="92"/>
    </row>
    <row r="460" spans="1:11" ht="12.75">
      <c r="A460" s="240">
        <v>4269</v>
      </c>
      <c r="B460" s="240"/>
      <c r="C460" s="240" t="s">
        <v>119</v>
      </c>
      <c r="D460" s="241">
        <f>SUM(D457:D459)</f>
        <v>2279</v>
      </c>
      <c r="E460" s="287">
        <f>SUM(E459)</f>
        <v>2686275</v>
      </c>
      <c r="F460" s="271"/>
      <c r="G460" s="270"/>
      <c r="H460" s="245"/>
      <c r="I460" s="245"/>
      <c r="J460" s="280"/>
      <c r="K460" s="92"/>
    </row>
    <row r="461" spans="1:11" ht="12.75">
      <c r="A461" s="237">
        <v>431111</v>
      </c>
      <c r="B461" s="237"/>
      <c r="C461" s="237" t="s">
        <v>82</v>
      </c>
      <c r="D461" s="238"/>
      <c r="E461" s="286"/>
      <c r="F461" s="271"/>
      <c r="G461" s="270"/>
      <c r="H461" s="255"/>
      <c r="I461" s="255"/>
      <c r="J461" s="246"/>
      <c r="K461" s="92"/>
    </row>
    <row r="462" spans="1:11" ht="12.75">
      <c r="A462" s="240">
        <v>4311</v>
      </c>
      <c r="B462" s="240"/>
      <c r="C462" s="240" t="s">
        <v>83</v>
      </c>
      <c r="D462" s="241"/>
      <c r="E462" s="287"/>
      <c r="F462" s="271"/>
      <c r="G462" s="270"/>
      <c r="H462" s="245"/>
      <c r="I462" s="245"/>
      <c r="J462" s="246"/>
      <c r="K462" s="92"/>
    </row>
    <row r="463" spans="1:11" ht="12.75">
      <c r="A463" s="237">
        <v>431211</v>
      </c>
      <c r="B463" s="237"/>
      <c r="C463" s="237" t="s">
        <v>84</v>
      </c>
      <c r="D463" s="238"/>
      <c r="E463" s="286"/>
      <c r="F463" s="271"/>
      <c r="G463" s="270"/>
      <c r="H463" s="255"/>
      <c r="I463" s="255"/>
      <c r="J463" s="246"/>
      <c r="K463" s="92"/>
    </row>
    <row r="464" spans="1:11" ht="12.75">
      <c r="A464" s="240">
        <v>4312</v>
      </c>
      <c r="B464" s="240"/>
      <c r="C464" s="240" t="s">
        <v>84</v>
      </c>
      <c r="D464" s="241"/>
      <c r="E464" s="287"/>
      <c r="F464" s="271"/>
      <c r="G464" s="270"/>
      <c r="H464" s="245"/>
      <c r="I464" s="245"/>
      <c r="J464" s="246"/>
      <c r="K464" s="92"/>
    </row>
    <row r="465" spans="1:11" ht="12.75">
      <c r="A465" s="237">
        <v>444211</v>
      </c>
      <c r="B465" s="237"/>
      <c r="C465" s="237" t="s">
        <v>85</v>
      </c>
      <c r="D465" s="238">
        <f>4986.97+360.17</f>
        <v>5347.14</v>
      </c>
      <c r="E465" s="286"/>
      <c r="F465" s="271"/>
      <c r="G465" s="270"/>
      <c r="H465" s="255"/>
      <c r="I465" s="255"/>
      <c r="J465" s="246"/>
      <c r="K465" s="92"/>
    </row>
    <row r="466" spans="1:11" ht="12.75">
      <c r="A466" s="240">
        <v>4442</v>
      </c>
      <c r="B466" s="240"/>
      <c r="C466" s="240" t="s">
        <v>85</v>
      </c>
      <c r="D466" s="241">
        <f>SUM(D465)</f>
        <v>5347.14</v>
      </c>
      <c r="E466" s="287"/>
      <c r="F466" s="271"/>
      <c r="G466" s="270"/>
      <c r="H466" s="245"/>
      <c r="I466" s="245"/>
      <c r="J466" s="246"/>
      <c r="K466" s="92"/>
    </row>
    <row r="467" spans="1:11" ht="12.75">
      <c r="A467" s="237">
        <v>482131</v>
      </c>
      <c r="B467" s="237"/>
      <c r="C467" s="237" t="s">
        <v>86</v>
      </c>
      <c r="D467" s="238"/>
      <c r="E467" s="286"/>
      <c r="F467" s="271"/>
      <c r="G467" s="270"/>
      <c r="H467" s="255"/>
      <c r="I467" s="255"/>
      <c r="J467" s="246"/>
      <c r="K467" s="92"/>
    </row>
    <row r="468" spans="1:11" ht="12.75">
      <c r="A468" s="240">
        <v>4821</v>
      </c>
      <c r="B468" s="240"/>
      <c r="C468" s="240" t="s">
        <v>87</v>
      </c>
      <c r="D468" s="241"/>
      <c r="E468" s="287"/>
      <c r="F468" s="271"/>
      <c r="G468" s="270"/>
      <c r="H468" s="245"/>
      <c r="I468" s="245"/>
      <c r="J468" s="246"/>
      <c r="K468" s="92"/>
    </row>
    <row r="469" spans="1:11" ht="12.75">
      <c r="A469" s="237">
        <v>482211</v>
      </c>
      <c r="B469" s="237"/>
      <c r="C469" s="237" t="s">
        <v>88</v>
      </c>
      <c r="D469" s="238"/>
      <c r="E469" s="286"/>
      <c r="F469" s="271"/>
      <c r="G469" s="270"/>
      <c r="H469" s="255"/>
      <c r="I469" s="255"/>
      <c r="J469" s="246"/>
      <c r="K469" s="92"/>
    </row>
    <row r="470" spans="1:11" ht="12.75">
      <c r="A470" s="234">
        <v>482241</v>
      </c>
      <c r="B470" s="234"/>
      <c r="C470" s="234" t="s">
        <v>91</v>
      </c>
      <c r="D470" s="236">
        <v>3150</v>
      </c>
      <c r="E470" s="290"/>
      <c r="F470" s="271"/>
      <c r="G470" s="270"/>
      <c r="H470" s="255"/>
      <c r="I470" s="255"/>
      <c r="J470" s="246"/>
      <c r="K470" s="92"/>
    </row>
    <row r="471" spans="1:11" ht="12.75">
      <c r="A471" s="237">
        <v>482251</v>
      </c>
      <c r="B471" s="237"/>
      <c r="C471" s="237" t="s">
        <v>89</v>
      </c>
      <c r="D471" s="238">
        <v>90713</v>
      </c>
      <c r="E471" s="286"/>
      <c r="F471" s="271"/>
      <c r="G471" s="270"/>
      <c r="H471" s="255"/>
      <c r="I471" s="255"/>
      <c r="J471" s="246"/>
      <c r="K471" s="92"/>
    </row>
    <row r="472" spans="1:11" ht="12.75">
      <c r="A472" s="240">
        <v>4822</v>
      </c>
      <c r="B472" s="240"/>
      <c r="C472" s="240" t="s">
        <v>90</v>
      </c>
      <c r="D472" s="241">
        <f>SUM(D469:D471)</f>
        <v>93863</v>
      </c>
      <c r="E472" s="287"/>
      <c r="F472" s="271"/>
      <c r="G472" s="270"/>
      <c r="H472" s="245"/>
      <c r="I472" s="245"/>
      <c r="J472" s="246"/>
      <c r="K472" s="122"/>
    </row>
    <row r="473" spans="1:11" ht="12.75">
      <c r="A473" s="240"/>
      <c r="B473" s="240"/>
      <c r="C473" s="240" t="s">
        <v>187</v>
      </c>
      <c r="D473" s="241"/>
      <c r="E473" s="287"/>
      <c r="F473" s="271"/>
      <c r="G473" s="270"/>
      <c r="H473" s="245"/>
      <c r="I473" s="245"/>
      <c r="J473" s="280"/>
      <c r="K473" s="122"/>
    </row>
    <row r="474" spans="1:11" ht="12.75">
      <c r="A474" s="240"/>
      <c r="B474" s="256">
        <f>D474*100/5218134.99</f>
        <v>0.8591508285223568</v>
      </c>
      <c r="C474" s="240" t="s">
        <v>180</v>
      </c>
      <c r="D474" s="241">
        <f>D475+D476+D477+D478+D479</f>
        <v>44831.65</v>
      </c>
      <c r="E474" s="287"/>
      <c r="F474" s="271"/>
      <c r="G474" s="270"/>
      <c r="H474" s="245"/>
      <c r="I474" s="245"/>
      <c r="J474" s="245"/>
      <c r="K474" s="122"/>
    </row>
    <row r="475" spans="1:11" ht="12.75">
      <c r="A475" s="237">
        <v>421211</v>
      </c>
      <c r="B475" s="237"/>
      <c r="C475" s="237" t="s">
        <v>23</v>
      </c>
      <c r="D475" s="238">
        <v>44131.65</v>
      </c>
      <c r="E475" s="286"/>
      <c r="F475" s="271"/>
      <c r="G475" s="270"/>
      <c r="H475" s="255"/>
      <c r="I475" s="255"/>
      <c r="J475" s="246"/>
      <c r="K475" s="125"/>
    </row>
    <row r="476" spans="1:11" ht="12.75">
      <c r="A476" s="237">
        <v>421225</v>
      </c>
      <c r="B476" s="237"/>
      <c r="C476" s="237" t="s">
        <v>24</v>
      </c>
      <c r="D476" s="238"/>
      <c r="E476" s="286"/>
      <c r="F476" s="271"/>
      <c r="G476" s="270"/>
      <c r="H476" s="255"/>
      <c r="I476" s="255"/>
      <c r="J476" s="246"/>
      <c r="K476" s="125"/>
    </row>
    <row r="477" spans="1:11" ht="12.75">
      <c r="A477" s="237">
        <v>426411</v>
      </c>
      <c r="B477" s="237"/>
      <c r="C477" s="237" t="s">
        <v>66</v>
      </c>
      <c r="D477" s="238">
        <v>700</v>
      </c>
      <c r="E477" s="238"/>
      <c r="F477" s="271"/>
      <c r="G477" s="270"/>
      <c r="H477" s="255"/>
      <c r="I477" s="255"/>
      <c r="J477" s="246"/>
      <c r="K477" s="122"/>
    </row>
    <row r="478" spans="1:11" ht="12.75">
      <c r="A478" s="237">
        <v>426412</v>
      </c>
      <c r="B478" s="237"/>
      <c r="C478" s="237" t="s">
        <v>67</v>
      </c>
      <c r="D478" s="238"/>
      <c r="E478" s="238"/>
      <c r="F478" s="271"/>
      <c r="G478" s="270"/>
      <c r="H478" s="255"/>
      <c r="I478" s="255"/>
      <c r="J478" s="246"/>
      <c r="K478" s="122"/>
    </row>
    <row r="479" spans="1:11" ht="12.75">
      <c r="A479" s="237">
        <v>426413</v>
      </c>
      <c r="B479" s="237"/>
      <c r="C479" s="237" t="s">
        <v>68</v>
      </c>
      <c r="D479" s="238"/>
      <c r="E479" s="238"/>
      <c r="F479" s="271"/>
      <c r="G479" s="270"/>
      <c r="H479" s="255"/>
      <c r="I479" s="255"/>
      <c r="J479" s="246"/>
      <c r="K479" s="122"/>
    </row>
    <row r="480" spans="1:11" ht="12.75">
      <c r="A480" s="247"/>
      <c r="B480" s="247"/>
      <c r="C480" s="247"/>
      <c r="D480" s="255"/>
      <c r="E480" s="255"/>
      <c r="F480" s="270"/>
      <c r="G480" s="270"/>
      <c r="H480" s="255"/>
      <c r="I480" s="255"/>
      <c r="J480" s="246"/>
      <c r="K480" s="122"/>
    </row>
    <row r="481" spans="1:11" ht="12.75">
      <c r="A481" s="247"/>
      <c r="B481" s="247"/>
      <c r="C481" s="247"/>
      <c r="D481" s="255"/>
      <c r="E481" s="255"/>
      <c r="F481" s="270"/>
      <c r="G481" s="270"/>
      <c r="H481" s="255"/>
      <c r="I481" s="255"/>
      <c r="J481" s="246"/>
      <c r="K481" s="122"/>
    </row>
    <row r="482" spans="1:11" ht="12.75">
      <c r="A482" s="247"/>
      <c r="B482" s="247"/>
      <c r="C482" s="247"/>
      <c r="D482" s="255"/>
      <c r="E482" s="255"/>
      <c r="F482" s="270"/>
      <c r="G482" s="270"/>
      <c r="H482" s="255"/>
      <c r="I482" s="255"/>
      <c r="J482" s="246"/>
      <c r="K482" s="122"/>
    </row>
    <row r="483" spans="1:11" ht="12.75">
      <c r="A483" s="247"/>
      <c r="B483" s="247"/>
      <c r="C483" s="247"/>
      <c r="D483" s="255"/>
      <c r="E483" s="255"/>
      <c r="F483" s="270"/>
      <c r="G483" s="270"/>
      <c r="H483" s="255"/>
      <c r="I483" s="255"/>
      <c r="J483" s="246"/>
      <c r="K483" s="122"/>
    </row>
    <row r="484" spans="1:11" ht="12.75">
      <c r="A484" s="247"/>
      <c r="B484" s="247"/>
      <c r="C484" s="247"/>
      <c r="D484" s="255"/>
      <c r="E484" s="255"/>
      <c r="F484" s="270"/>
      <c r="G484" s="270"/>
      <c r="H484" s="255"/>
      <c r="I484" s="255"/>
      <c r="J484" s="246"/>
      <c r="K484" s="122"/>
    </row>
    <row r="485" spans="1:11" ht="12.75">
      <c r="A485" s="231" t="s">
        <v>298</v>
      </c>
      <c r="B485" s="231"/>
      <c r="C485" s="231"/>
      <c r="D485" s="278"/>
      <c r="E485" s="280"/>
      <c r="F485" s="273"/>
      <c r="G485" s="230"/>
      <c r="H485" s="255"/>
      <c r="I485" s="255"/>
      <c r="J485" s="246"/>
      <c r="K485" s="122"/>
    </row>
    <row r="486" spans="1:11" ht="12.75">
      <c r="A486" s="231" t="s">
        <v>235</v>
      </c>
      <c r="B486" s="231"/>
      <c r="C486" s="231"/>
      <c r="D486" s="230"/>
      <c r="E486" s="230"/>
      <c r="F486" s="230"/>
      <c r="G486" s="228" t="s">
        <v>238</v>
      </c>
      <c r="H486" s="255"/>
      <c r="I486" s="255"/>
      <c r="J486" s="246"/>
      <c r="K486" s="122"/>
    </row>
    <row r="487" spans="1:11" ht="33.75">
      <c r="A487" s="232" t="s">
        <v>0</v>
      </c>
      <c r="B487" s="232" t="s">
        <v>208</v>
      </c>
      <c r="C487" s="232" t="s">
        <v>1</v>
      </c>
      <c r="D487" s="232" t="s">
        <v>200</v>
      </c>
      <c r="E487" s="232" t="s">
        <v>201</v>
      </c>
      <c r="F487" s="233" t="s">
        <v>170</v>
      </c>
      <c r="G487" s="279"/>
      <c r="H487" s="255"/>
      <c r="I487" s="255"/>
      <c r="J487" s="246"/>
      <c r="K487" s="122"/>
    </row>
    <row r="488" spans="1:11" ht="12.75">
      <c r="A488" s="257"/>
      <c r="B488" s="257"/>
      <c r="C488" s="257" t="s">
        <v>181</v>
      </c>
      <c r="D488" s="238"/>
      <c r="E488" s="238"/>
      <c r="F488" s="271"/>
      <c r="G488" s="270"/>
      <c r="H488" s="255"/>
      <c r="I488" s="255"/>
      <c r="J488" s="246"/>
      <c r="K488" s="122"/>
    </row>
    <row r="489" spans="1:11" ht="12.75">
      <c r="A489" s="257"/>
      <c r="B489" s="242">
        <f>D489*100/5218134.99</f>
        <v>3.706924607559836</v>
      </c>
      <c r="C489" s="257" t="s">
        <v>182</v>
      </c>
      <c r="D489" s="274">
        <f>D490+D491+D492+D493</f>
        <v>193432.33000000002</v>
      </c>
      <c r="E489" s="274">
        <v>5800000</v>
      </c>
      <c r="F489" s="242">
        <f>D489*100/E489</f>
        <v>3.3350401724137932</v>
      </c>
      <c r="G489" s="270"/>
      <c r="H489" s="255"/>
      <c r="I489" s="255"/>
      <c r="J489" s="246"/>
      <c r="K489" s="122"/>
    </row>
    <row r="490" spans="1:11" ht="12.75">
      <c r="A490" s="237">
        <v>4267111</v>
      </c>
      <c r="B490" s="239"/>
      <c r="C490" s="237" t="s">
        <v>70</v>
      </c>
      <c r="D490" s="238"/>
      <c r="E490" s="238"/>
      <c r="F490" s="239"/>
      <c r="G490" s="270"/>
      <c r="H490" s="255"/>
      <c r="I490" s="255"/>
      <c r="J490" s="246"/>
      <c r="K490" s="122"/>
    </row>
    <row r="491" spans="1:11" ht="12.75">
      <c r="A491" s="237">
        <v>4267112</v>
      </c>
      <c r="B491" s="239"/>
      <c r="C491" s="237" t="s">
        <v>71</v>
      </c>
      <c r="D491" s="238">
        <v>52862.82</v>
      </c>
      <c r="E491" s="238"/>
      <c r="F491" s="239"/>
      <c r="G491" s="270"/>
      <c r="H491" s="255"/>
      <c r="I491" s="255"/>
      <c r="J491" s="246"/>
      <c r="K491" s="122"/>
    </row>
    <row r="492" spans="1:11" ht="12.75">
      <c r="A492" s="237">
        <v>4267113</v>
      </c>
      <c r="B492" s="239"/>
      <c r="C492" s="237" t="s">
        <v>72</v>
      </c>
      <c r="D492" s="238">
        <v>140569.51</v>
      </c>
      <c r="E492" s="238"/>
      <c r="F492" s="239"/>
      <c r="G492" s="270"/>
      <c r="H492" s="255"/>
      <c r="I492" s="255"/>
      <c r="J492" s="246"/>
      <c r="K492" s="122"/>
    </row>
    <row r="493" spans="1:11" ht="12.75">
      <c r="A493" s="237">
        <v>426721</v>
      </c>
      <c r="B493" s="239"/>
      <c r="C493" s="237" t="s">
        <v>73</v>
      </c>
      <c r="D493" s="238"/>
      <c r="E493" s="238"/>
      <c r="F493" s="239"/>
      <c r="G493" s="270"/>
      <c r="H493" s="255"/>
      <c r="I493" s="255"/>
      <c r="J493" s="246"/>
      <c r="K493" s="122"/>
    </row>
    <row r="494" spans="1:11" ht="12.75">
      <c r="A494" s="237"/>
      <c r="B494" s="239">
        <v>0</v>
      </c>
      <c r="C494" s="257" t="s">
        <v>183</v>
      </c>
      <c r="D494" s="274">
        <f>D495+D496</f>
        <v>0</v>
      </c>
      <c r="E494" s="274">
        <v>8190000</v>
      </c>
      <c r="F494" s="239">
        <f>D494*100/E494</f>
        <v>0</v>
      </c>
      <c r="G494" s="270"/>
      <c r="H494" s="255"/>
      <c r="I494" s="255"/>
      <c r="J494" s="246"/>
      <c r="K494" s="122"/>
    </row>
    <row r="495" spans="1:11" ht="12.75">
      <c r="A495" s="237">
        <v>4267510</v>
      </c>
      <c r="B495" s="239"/>
      <c r="C495" s="237" t="s">
        <v>75</v>
      </c>
      <c r="D495" s="238"/>
      <c r="E495" s="238"/>
      <c r="F495" s="239"/>
      <c r="G495" s="270"/>
      <c r="H495" s="255"/>
      <c r="I495" s="255"/>
      <c r="J495" s="246"/>
      <c r="K495" s="122"/>
    </row>
    <row r="496" spans="1:11" ht="12.75">
      <c r="A496" s="237">
        <v>4267511</v>
      </c>
      <c r="B496" s="239"/>
      <c r="C496" s="237" t="s">
        <v>74</v>
      </c>
      <c r="D496" s="238"/>
      <c r="E496" s="238"/>
      <c r="F496" s="239"/>
      <c r="G496" s="270"/>
      <c r="H496" s="255"/>
      <c r="I496" s="255"/>
      <c r="J496" s="246"/>
      <c r="K496" s="122"/>
    </row>
    <row r="497" spans="1:11" ht="12.75">
      <c r="A497" s="237"/>
      <c r="B497" s="242">
        <v>100</v>
      </c>
      <c r="C497" s="240" t="s">
        <v>134</v>
      </c>
      <c r="D497" s="241">
        <f>D494+D489+D474+D378+D373+D370+D377</f>
        <v>5218134.989999999</v>
      </c>
      <c r="E497" s="241">
        <f>E494+E489+E474+E378+E373+E370+E377+E460</f>
        <v>22540000</v>
      </c>
      <c r="F497" s="242">
        <f>D497*100/E497</f>
        <v>23.150554525288374</v>
      </c>
      <c r="G497" s="270"/>
      <c r="H497" s="245"/>
      <c r="I497" s="245"/>
      <c r="J497" s="245"/>
      <c r="K497" s="68"/>
    </row>
    <row r="498" spans="1:11" ht="12.75">
      <c r="A498" s="247"/>
      <c r="B498" s="247"/>
      <c r="C498" s="244"/>
      <c r="D498" s="245"/>
      <c r="E498" s="245"/>
      <c r="F498" s="245"/>
      <c r="G498" s="245"/>
      <c r="H498" s="245"/>
      <c r="I498" s="245"/>
      <c r="J498" s="246"/>
      <c r="K498" s="92"/>
    </row>
    <row r="499" spans="1:11" ht="12.75">
      <c r="A499" s="247"/>
      <c r="B499" s="247"/>
      <c r="C499" s="278" t="s">
        <v>195</v>
      </c>
      <c r="D499" s="229"/>
      <c r="E499" s="229"/>
      <c r="F499" s="229"/>
      <c r="G499" s="229"/>
      <c r="H499" s="255"/>
      <c r="I499" s="255"/>
      <c r="J499" s="246"/>
      <c r="K499" s="92"/>
    </row>
    <row r="500" spans="1:11" ht="12.75">
      <c r="A500" s="247"/>
      <c r="B500" s="247"/>
      <c r="C500" s="247"/>
      <c r="D500" s="255"/>
      <c r="E500" s="255"/>
      <c r="F500" s="255"/>
      <c r="G500" s="255"/>
      <c r="H500" s="255"/>
      <c r="I500" s="255"/>
      <c r="J500" s="246"/>
      <c r="K500" s="92"/>
    </row>
    <row r="501" spans="1:11" ht="33.75">
      <c r="A501" s="232" t="s">
        <v>0</v>
      </c>
      <c r="B501" s="232" t="s">
        <v>208</v>
      </c>
      <c r="C501" s="232" t="s">
        <v>1</v>
      </c>
      <c r="D501" s="232" t="s">
        <v>200</v>
      </c>
      <c r="E501" s="232" t="s">
        <v>201</v>
      </c>
      <c r="F501" s="233" t="s">
        <v>170</v>
      </c>
      <c r="G501" s="230"/>
      <c r="H501" s="279"/>
      <c r="I501" s="279"/>
      <c r="J501" s="283"/>
      <c r="K501" s="127"/>
    </row>
    <row r="502" spans="1:11" ht="12.75">
      <c r="A502" s="292">
        <v>512111</v>
      </c>
      <c r="B502" s="292"/>
      <c r="C502" s="293" t="s">
        <v>124</v>
      </c>
      <c r="D502" s="238">
        <v>1376602.5</v>
      </c>
      <c r="E502" s="294">
        <v>1400000</v>
      </c>
      <c r="F502" s="241"/>
      <c r="G502" s="230"/>
      <c r="H502" s="295"/>
      <c r="I502" s="295"/>
      <c r="J502" s="246"/>
      <c r="K502" s="92"/>
    </row>
    <row r="503" spans="1:11" ht="12.75">
      <c r="A503" s="266">
        <v>5121</v>
      </c>
      <c r="B503" s="266"/>
      <c r="C503" s="267" t="s">
        <v>125</v>
      </c>
      <c r="D503" s="241">
        <f>SUM(D502)</f>
        <v>1376602.5</v>
      </c>
      <c r="E503" s="269">
        <f>SUM(E502)</f>
        <v>1400000</v>
      </c>
      <c r="F503" s="241">
        <f>D503*100/E503</f>
        <v>98.32875</v>
      </c>
      <c r="G503" s="230"/>
      <c r="H503" s="295"/>
      <c r="I503" s="295"/>
      <c r="J503" s="246"/>
      <c r="K503" s="92"/>
    </row>
    <row r="504" spans="1:11" ht="12.75">
      <c r="A504" s="237">
        <v>512211</v>
      </c>
      <c r="B504" s="237"/>
      <c r="C504" s="237" t="s">
        <v>120</v>
      </c>
      <c r="D504" s="238">
        <v>15930</v>
      </c>
      <c r="E504" s="238"/>
      <c r="F504" s="238"/>
      <c r="G504" s="230"/>
      <c r="H504" s="255"/>
      <c r="I504" s="255"/>
      <c r="J504" s="246"/>
      <c r="K504" s="92"/>
    </row>
    <row r="505" spans="1:11" ht="12.75">
      <c r="A505" s="237">
        <v>512221</v>
      </c>
      <c r="B505" s="237"/>
      <c r="C505" s="237" t="s">
        <v>56</v>
      </c>
      <c r="D505" s="238"/>
      <c r="E505" s="238"/>
      <c r="F505" s="238"/>
      <c r="G505" s="230"/>
      <c r="H505" s="255"/>
      <c r="I505" s="255"/>
      <c r="J505" s="246"/>
      <c r="K505" s="92"/>
    </row>
    <row r="506" spans="1:11" ht="12.75">
      <c r="A506" s="237">
        <v>512222</v>
      </c>
      <c r="B506" s="237"/>
      <c r="C506" s="237" t="s">
        <v>121</v>
      </c>
      <c r="D506" s="238"/>
      <c r="E506" s="238"/>
      <c r="F506" s="238"/>
      <c r="G506" s="230"/>
      <c r="H506" s="255"/>
      <c r="I506" s="255"/>
      <c r="J506" s="246"/>
      <c r="K506" s="92"/>
    </row>
    <row r="507" spans="1:11" ht="12.75">
      <c r="A507" s="237">
        <v>512251</v>
      </c>
      <c r="B507" s="237"/>
      <c r="C507" s="237" t="s">
        <v>122</v>
      </c>
      <c r="D507" s="238"/>
      <c r="E507" s="238"/>
      <c r="F507" s="238"/>
      <c r="G507" s="230"/>
      <c r="H507" s="255"/>
      <c r="I507" s="255"/>
      <c r="J507" s="246"/>
      <c r="K507" s="92"/>
    </row>
    <row r="508" spans="1:11" ht="12.75">
      <c r="A508" s="240">
        <v>5122</v>
      </c>
      <c r="B508" s="240"/>
      <c r="C508" s="240" t="s">
        <v>123</v>
      </c>
      <c r="D508" s="241">
        <f>SUM(D504:D507)</f>
        <v>15930</v>
      </c>
      <c r="E508" s="241"/>
      <c r="F508" s="241"/>
      <c r="G508" s="230"/>
      <c r="H508" s="245"/>
      <c r="I508" s="245"/>
      <c r="J508" s="246"/>
      <c r="K508" s="92"/>
    </row>
    <row r="509" spans="1:11" ht="12.75">
      <c r="A509" s="237">
        <v>512511</v>
      </c>
      <c r="B509" s="237"/>
      <c r="C509" s="237" t="s">
        <v>126</v>
      </c>
      <c r="D509" s="238"/>
      <c r="E509" s="238"/>
      <c r="F509" s="238"/>
      <c r="G509" s="230"/>
      <c r="H509" s="255"/>
      <c r="I509" s="255"/>
      <c r="J509" s="246"/>
      <c r="K509" s="92"/>
    </row>
    <row r="510" spans="1:11" ht="12.75">
      <c r="A510" s="237">
        <v>512521</v>
      </c>
      <c r="B510" s="237"/>
      <c r="C510" s="237" t="s">
        <v>127</v>
      </c>
      <c r="D510" s="238"/>
      <c r="E510" s="238"/>
      <c r="F510" s="238"/>
      <c r="G510" s="230"/>
      <c r="H510" s="255"/>
      <c r="I510" s="255"/>
      <c r="J510" s="246"/>
      <c r="K510" s="92"/>
    </row>
    <row r="511" spans="1:11" ht="12.75">
      <c r="A511" s="240">
        <v>5125</v>
      </c>
      <c r="B511" s="240"/>
      <c r="C511" s="240" t="s">
        <v>128</v>
      </c>
      <c r="D511" s="241"/>
      <c r="E511" s="241"/>
      <c r="F511" s="241"/>
      <c r="G511" s="230"/>
      <c r="H511" s="245"/>
      <c r="I511" s="245"/>
      <c r="J511" s="246"/>
      <c r="K511" s="92"/>
    </row>
    <row r="512" spans="1:11" ht="12.75">
      <c r="A512" s="244"/>
      <c r="B512" s="244"/>
      <c r="C512" s="240" t="s">
        <v>135</v>
      </c>
      <c r="D512" s="241">
        <f>D508+D503</f>
        <v>1392532.5</v>
      </c>
      <c r="E512" s="241">
        <f>E508+E503</f>
        <v>1400000</v>
      </c>
      <c r="F512" s="241">
        <f>D512*100/E512</f>
        <v>99.46660714285714</v>
      </c>
      <c r="G512" s="230"/>
      <c r="H512" s="245"/>
      <c r="I512" s="245"/>
      <c r="J512" s="246"/>
      <c r="K512" s="92"/>
    </row>
    <row r="513" spans="1:11" ht="12.75">
      <c r="A513" s="244"/>
      <c r="B513" s="244"/>
      <c r="C513" s="240" t="s">
        <v>202</v>
      </c>
      <c r="D513" s="241"/>
      <c r="E513" s="241">
        <f>E514+E515+E516</f>
        <v>10037000</v>
      </c>
      <c r="F513" s="241"/>
      <c r="G513" s="230"/>
      <c r="H513" s="245"/>
      <c r="I513" s="245"/>
      <c r="J513" s="246"/>
      <c r="K513" s="92"/>
    </row>
    <row r="514" spans="1:11" ht="12.75">
      <c r="A514" s="244"/>
      <c r="B514" s="244"/>
      <c r="C514" s="240" t="s">
        <v>190</v>
      </c>
      <c r="D514" s="241"/>
      <c r="E514" s="241">
        <v>4000000</v>
      </c>
      <c r="F514" s="241"/>
      <c r="G514" s="230"/>
      <c r="H514" s="245"/>
      <c r="I514" s="245"/>
      <c r="J514" s="246"/>
      <c r="K514" s="92"/>
    </row>
    <row r="515" spans="1:11" ht="12.75">
      <c r="A515" s="244"/>
      <c r="B515" s="244"/>
      <c r="C515" s="240" t="s">
        <v>191</v>
      </c>
      <c r="D515" s="241"/>
      <c r="E515" s="241">
        <v>1437000</v>
      </c>
      <c r="F515" s="241"/>
      <c r="G515" s="230"/>
      <c r="H515" s="245"/>
      <c r="I515" s="245"/>
      <c r="J515" s="246"/>
      <c r="K515" s="92"/>
    </row>
    <row r="516" spans="1:11" ht="12.75">
      <c r="A516" s="247"/>
      <c r="B516" s="247"/>
      <c r="C516" s="257" t="s">
        <v>239</v>
      </c>
      <c r="D516" s="274"/>
      <c r="E516" s="274">
        <v>4600000</v>
      </c>
      <c r="F516" s="238"/>
      <c r="G516" s="230"/>
      <c r="H516" s="255"/>
      <c r="I516" s="255"/>
      <c r="J516" s="246"/>
      <c r="K516" s="92"/>
    </row>
    <row r="517" spans="1:11" ht="12.75">
      <c r="A517" s="247"/>
      <c r="B517" s="247"/>
      <c r="C517" s="257" t="s">
        <v>167</v>
      </c>
      <c r="D517" s="274">
        <f>D497+D512</f>
        <v>6610667.489999999</v>
      </c>
      <c r="E517" s="274">
        <f>E497+E512+E513</f>
        <v>33977000</v>
      </c>
      <c r="F517" s="241">
        <f>D517*100/E517</f>
        <v>19.4563012920505</v>
      </c>
      <c r="G517" s="230"/>
      <c r="H517" s="245"/>
      <c r="I517" s="245"/>
      <c r="J517" s="246"/>
      <c r="K517" s="92"/>
    </row>
    <row r="518" spans="1:11" ht="13.5" thickBot="1">
      <c r="A518" s="228"/>
      <c r="B518" s="228"/>
      <c r="C518" s="228" t="s">
        <v>283</v>
      </c>
      <c r="D518" s="228"/>
      <c r="E518" s="228"/>
      <c r="F518" s="228"/>
      <c r="G518" s="228"/>
      <c r="H518" s="228"/>
      <c r="I518" s="228"/>
      <c r="J518" s="230"/>
      <c r="K518" s="27" t="s">
        <v>171</v>
      </c>
    </row>
    <row r="519" spans="1:11" ht="34.5" thickBot="1">
      <c r="A519" s="296" t="s">
        <v>0</v>
      </c>
      <c r="B519" s="232" t="s">
        <v>208</v>
      </c>
      <c r="C519" s="296" t="s">
        <v>1</v>
      </c>
      <c r="D519" s="296" t="s">
        <v>2</v>
      </c>
      <c r="E519" s="296" t="s">
        <v>3</v>
      </c>
      <c r="F519" s="297" t="s">
        <v>4</v>
      </c>
      <c r="G519" s="296" t="s">
        <v>133</v>
      </c>
      <c r="H519" s="296" t="s">
        <v>6</v>
      </c>
      <c r="I519" s="298" t="s">
        <v>7</v>
      </c>
      <c r="J519" s="299" t="s">
        <v>175</v>
      </c>
      <c r="K519" s="82" t="s">
        <v>170</v>
      </c>
    </row>
    <row r="520" spans="1:11" ht="12.75">
      <c r="A520" s="234">
        <v>411111</v>
      </c>
      <c r="B520" s="234"/>
      <c r="C520" s="234" t="s">
        <v>8</v>
      </c>
      <c r="D520" s="236">
        <v>70678290.52</v>
      </c>
      <c r="E520" s="236">
        <v>68087492.37</v>
      </c>
      <c r="F520" s="236"/>
      <c r="G520" s="236">
        <v>2590798.15</v>
      </c>
      <c r="H520" s="236"/>
      <c r="I520" s="236"/>
      <c r="J520" s="235"/>
      <c r="K520" s="83"/>
    </row>
    <row r="521" spans="1:11" ht="12.75">
      <c r="A521" s="237">
        <v>411112</v>
      </c>
      <c r="B521" s="237"/>
      <c r="C521" s="237" t="s">
        <v>93</v>
      </c>
      <c r="D521" s="238">
        <v>701310.26</v>
      </c>
      <c r="E521" s="238">
        <v>701310.26</v>
      </c>
      <c r="F521" s="238"/>
      <c r="G521" s="238"/>
      <c r="H521" s="238"/>
      <c r="I521" s="238"/>
      <c r="J521" s="239"/>
      <c r="K521" s="84"/>
    </row>
    <row r="522" spans="1:11" ht="12.75">
      <c r="A522" s="237">
        <v>411113</v>
      </c>
      <c r="B522" s="237"/>
      <c r="C522" s="237" t="s">
        <v>9</v>
      </c>
      <c r="D522" s="238">
        <v>320610.99</v>
      </c>
      <c r="E522" s="238">
        <v>320610.99</v>
      </c>
      <c r="F522" s="238"/>
      <c r="G522" s="238"/>
      <c r="H522" s="238"/>
      <c r="I522" s="238"/>
      <c r="J522" s="239"/>
      <c r="K522" s="84"/>
    </row>
    <row r="523" spans="1:11" ht="12.75">
      <c r="A523" s="237">
        <v>411114</v>
      </c>
      <c r="B523" s="237"/>
      <c r="C523" s="237" t="s">
        <v>10</v>
      </c>
      <c r="D523" s="238">
        <v>435473.33</v>
      </c>
      <c r="E523" s="238">
        <v>435473.33</v>
      </c>
      <c r="F523" s="238"/>
      <c r="G523" s="238"/>
      <c r="H523" s="238"/>
      <c r="I523" s="238"/>
      <c r="J523" s="239"/>
      <c r="K523" s="84"/>
    </row>
    <row r="524" spans="1:11" ht="12.75">
      <c r="A524" s="237">
        <v>411115</v>
      </c>
      <c r="B524" s="237"/>
      <c r="C524" s="237" t="s">
        <v>11</v>
      </c>
      <c r="D524" s="238">
        <v>4736398.51</v>
      </c>
      <c r="E524" s="238">
        <v>4736398.51</v>
      </c>
      <c r="F524" s="238"/>
      <c r="G524" s="238"/>
      <c r="H524" s="238"/>
      <c r="I524" s="238"/>
      <c r="J524" s="239"/>
      <c r="K524" s="84"/>
    </row>
    <row r="525" spans="1:11" ht="12.75">
      <c r="A525" s="237">
        <v>411117</v>
      </c>
      <c r="B525" s="237"/>
      <c r="C525" s="237" t="s">
        <v>12</v>
      </c>
      <c r="D525" s="238">
        <v>1012899.65</v>
      </c>
      <c r="E525" s="238">
        <v>1012899.65</v>
      </c>
      <c r="F525" s="238"/>
      <c r="G525" s="238"/>
      <c r="H525" s="238"/>
      <c r="I525" s="238"/>
      <c r="J525" s="239"/>
      <c r="K525" s="84"/>
    </row>
    <row r="526" spans="1:11" ht="12.75">
      <c r="A526" s="240">
        <v>4111</v>
      </c>
      <c r="B526" s="240"/>
      <c r="C526" s="240" t="s">
        <v>92</v>
      </c>
      <c r="D526" s="241">
        <f>SUM(D520:D525)</f>
        <v>77884983.26</v>
      </c>
      <c r="E526" s="241">
        <f>SUM(E520:E525)</f>
        <v>75294185.11000001</v>
      </c>
      <c r="F526" s="241"/>
      <c r="G526" s="241">
        <f>SUM(G520:G525)</f>
        <v>2590798.15</v>
      </c>
      <c r="H526" s="241"/>
      <c r="I526" s="241"/>
      <c r="J526" s="242"/>
      <c r="K526" s="90"/>
    </row>
    <row r="527" spans="1:11" ht="12.75">
      <c r="A527" s="237">
        <v>412111</v>
      </c>
      <c r="B527" s="237"/>
      <c r="C527" s="237" t="s">
        <v>13</v>
      </c>
      <c r="D527" s="238">
        <v>8589604.95</v>
      </c>
      <c r="E527" s="238">
        <v>8303046.17</v>
      </c>
      <c r="F527" s="238"/>
      <c r="G527" s="238">
        <v>286558.78</v>
      </c>
      <c r="H527" s="238"/>
      <c r="I527" s="238"/>
      <c r="J527" s="239"/>
      <c r="K527" s="84"/>
    </row>
    <row r="528" spans="1:11" ht="12.75">
      <c r="A528" s="237">
        <v>412113</v>
      </c>
      <c r="B528" s="237"/>
      <c r="C528" s="237" t="s">
        <v>129</v>
      </c>
      <c r="D528" s="238">
        <v>416742.75</v>
      </c>
      <c r="E528" s="238"/>
      <c r="F528" s="238"/>
      <c r="G528" s="238">
        <v>416742.75</v>
      </c>
      <c r="H528" s="238"/>
      <c r="I528" s="238"/>
      <c r="J528" s="239"/>
      <c r="K528" s="84"/>
    </row>
    <row r="529" spans="1:11" ht="12.75">
      <c r="A529" s="240">
        <v>4121</v>
      </c>
      <c r="B529" s="240"/>
      <c r="C529" s="240" t="s">
        <v>94</v>
      </c>
      <c r="D529" s="241">
        <f>SUM(D527:D528)</f>
        <v>9006347.7</v>
      </c>
      <c r="E529" s="241">
        <f>SUM(E527:E528)</f>
        <v>8303046.17</v>
      </c>
      <c r="F529" s="241"/>
      <c r="G529" s="241">
        <f>SUM(G527:G528)</f>
        <v>703301.53</v>
      </c>
      <c r="H529" s="241"/>
      <c r="I529" s="241"/>
      <c r="J529" s="239"/>
      <c r="K529" s="84"/>
    </row>
    <row r="530" spans="1:11" ht="12.75">
      <c r="A530" s="237">
        <v>412211</v>
      </c>
      <c r="B530" s="237"/>
      <c r="C530" s="237" t="s">
        <v>14</v>
      </c>
      <c r="D530" s="238">
        <v>4802370.03</v>
      </c>
      <c r="E530" s="238">
        <v>4642157.63</v>
      </c>
      <c r="F530" s="238"/>
      <c r="G530" s="238">
        <v>160212.4</v>
      </c>
      <c r="H530" s="238"/>
      <c r="I530" s="238"/>
      <c r="J530" s="239"/>
      <c r="K530" s="84"/>
    </row>
    <row r="531" spans="1:11" ht="12.75">
      <c r="A531" s="240">
        <v>4122</v>
      </c>
      <c r="B531" s="240"/>
      <c r="C531" s="240" t="s">
        <v>14</v>
      </c>
      <c r="D531" s="241">
        <f>SUM(D530)</f>
        <v>4802370.03</v>
      </c>
      <c r="E531" s="241">
        <f>SUM(E530)</f>
        <v>4642157.63</v>
      </c>
      <c r="F531" s="241"/>
      <c r="G531" s="241">
        <f>SUM(G530)</f>
        <v>160212.4</v>
      </c>
      <c r="H531" s="241"/>
      <c r="I531" s="241"/>
      <c r="J531" s="239"/>
      <c r="K531" s="84"/>
    </row>
    <row r="532" spans="1:11" ht="12.75">
      <c r="A532" s="237">
        <v>412311</v>
      </c>
      <c r="B532" s="237"/>
      <c r="C532" s="237" t="s">
        <v>95</v>
      </c>
      <c r="D532" s="238">
        <v>585654.88</v>
      </c>
      <c r="E532" s="238">
        <v>566116.77</v>
      </c>
      <c r="F532" s="238"/>
      <c r="G532" s="238">
        <v>19538.11</v>
      </c>
      <c r="H532" s="238"/>
      <c r="I532" s="238"/>
      <c r="J532" s="239"/>
      <c r="K532" s="84"/>
    </row>
    <row r="533" spans="1:11" ht="12.75">
      <c r="A533" s="240">
        <v>4123</v>
      </c>
      <c r="B533" s="240"/>
      <c r="C533" s="240" t="s">
        <v>96</v>
      </c>
      <c r="D533" s="241">
        <f>SUM(D532)</f>
        <v>585654.88</v>
      </c>
      <c r="E533" s="241">
        <f>SUM(E532)</f>
        <v>566116.77</v>
      </c>
      <c r="F533" s="241"/>
      <c r="G533" s="241">
        <f>SUM(G532)</f>
        <v>19538.11</v>
      </c>
      <c r="H533" s="241"/>
      <c r="I533" s="241"/>
      <c r="J533" s="239"/>
      <c r="K533" s="84"/>
    </row>
    <row r="534" spans="1:11" ht="12.75">
      <c r="A534" s="240"/>
      <c r="B534" s="240"/>
      <c r="C534" s="240" t="s">
        <v>174</v>
      </c>
      <c r="D534" s="241">
        <f aca="true" t="shared" si="9" ref="D534:I534">D533+D531+D529+D526</f>
        <v>92279355.87</v>
      </c>
      <c r="E534" s="241">
        <f t="shared" si="9"/>
        <v>88805505.68</v>
      </c>
      <c r="F534" s="241">
        <f t="shared" si="9"/>
        <v>0</v>
      </c>
      <c r="G534" s="241">
        <f t="shared" si="9"/>
        <v>3473850.19</v>
      </c>
      <c r="H534" s="241">
        <f t="shared" si="9"/>
        <v>0</v>
      </c>
      <c r="I534" s="241">
        <f t="shared" si="9"/>
        <v>0</v>
      </c>
      <c r="J534" s="242">
        <v>220216425</v>
      </c>
      <c r="K534" s="96">
        <f>D534*100/J534</f>
        <v>41.90393875933641</v>
      </c>
    </row>
    <row r="535" spans="1:11" ht="12.75">
      <c r="A535" s="237">
        <v>413151</v>
      </c>
      <c r="B535" s="237"/>
      <c r="C535" s="237" t="s">
        <v>15</v>
      </c>
      <c r="D535" s="238">
        <v>34400</v>
      </c>
      <c r="E535" s="238"/>
      <c r="F535" s="238"/>
      <c r="G535" s="238"/>
      <c r="H535" s="238">
        <v>34400</v>
      </c>
      <c r="I535" s="238"/>
      <c r="J535" s="239"/>
      <c r="K535" s="101"/>
    </row>
    <row r="536" spans="1:11" ht="12.75">
      <c r="A536" s="237">
        <v>415112</v>
      </c>
      <c r="B536" s="237"/>
      <c r="C536" s="237" t="s">
        <v>21</v>
      </c>
      <c r="D536" s="238">
        <v>1943711.77</v>
      </c>
      <c r="E536" s="238">
        <v>1788736.09</v>
      </c>
      <c r="F536" s="238"/>
      <c r="G536" s="238">
        <v>154975.68</v>
      </c>
      <c r="H536" s="238"/>
      <c r="I536" s="238"/>
      <c r="J536" s="239"/>
      <c r="K536" s="101"/>
    </row>
    <row r="537" spans="1:11" ht="12.75">
      <c r="A537" s="240">
        <v>4131</v>
      </c>
      <c r="B537" s="240"/>
      <c r="C537" s="240" t="s">
        <v>178</v>
      </c>
      <c r="D537" s="241">
        <f aca="true" t="shared" si="10" ref="D537:I537">SUM(D535:D536)</f>
        <v>1978111.77</v>
      </c>
      <c r="E537" s="241">
        <f t="shared" si="10"/>
        <v>1788736.09</v>
      </c>
      <c r="F537" s="241">
        <f t="shared" si="10"/>
        <v>0</v>
      </c>
      <c r="G537" s="241">
        <f t="shared" si="10"/>
        <v>154975.68</v>
      </c>
      <c r="H537" s="241">
        <f t="shared" si="10"/>
        <v>34400</v>
      </c>
      <c r="I537" s="241">
        <f t="shared" si="10"/>
        <v>0</v>
      </c>
      <c r="J537" s="241">
        <v>4362300</v>
      </c>
      <c r="K537" s="103">
        <f>SUM(K535:K536)</f>
        <v>0</v>
      </c>
    </row>
    <row r="538" spans="1:11" ht="12.75">
      <c r="A538" s="237">
        <v>414111</v>
      </c>
      <c r="B538" s="237"/>
      <c r="C538" s="237" t="s">
        <v>16</v>
      </c>
      <c r="D538" s="238">
        <v>1287876.63</v>
      </c>
      <c r="E538" s="238"/>
      <c r="F538" s="238"/>
      <c r="G538" s="238"/>
      <c r="H538" s="238"/>
      <c r="I538" s="238">
        <v>1287876.63</v>
      </c>
      <c r="J538" s="239"/>
      <c r="K538" s="101"/>
    </row>
    <row r="539" spans="1:11" ht="12.75">
      <c r="A539" s="237">
        <v>414121</v>
      </c>
      <c r="B539" s="237"/>
      <c r="C539" s="237" t="s">
        <v>17</v>
      </c>
      <c r="D539" s="238">
        <v>147394</v>
      </c>
      <c r="E539" s="238"/>
      <c r="F539" s="238"/>
      <c r="G539" s="238"/>
      <c r="H539" s="238"/>
      <c r="I539" s="238">
        <v>147394</v>
      </c>
      <c r="J539" s="239"/>
      <c r="K539" s="101"/>
    </row>
    <row r="540" spans="1:11" ht="12.75">
      <c r="A540" s="237">
        <v>414131</v>
      </c>
      <c r="B540" s="237"/>
      <c r="C540" s="237" t="s">
        <v>18</v>
      </c>
      <c r="D540" s="238">
        <v>62203.1</v>
      </c>
      <c r="E540" s="238"/>
      <c r="F540" s="238"/>
      <c r="G540" s="238">
        <v>62203.1</v>
      </c>
      <c r="H540" s="238"/>
      <c r="I540" s="238"/>
      <c r="J540" s="239"/>
      <c r="K540" s="101"/>
    </row>
    <row r="541" spans="1:11" ht="12.75">
      <c r="A541" s="240">
        <v>4141</v>
      </c>
      <c r="B541" s="240"/>
      <c r="C541" s="240" t="s">
        <v>98</v>
      </c>
      <c r="D541" s="241">
        <f>SUM(D538:D540)</f>
        <v>1497473.73</v>
      </c>
      <c r="E541" s="241"/>
      <c r="F541" s="241"/>
      <c r="G541" s="241">
        <f>SUM(G538:G540)</f>
        <v>62203.1</v>
      </c>
      <c r="H541" s="241"/>
      <c r="I541" s="241">
        <f>SUM(I538:I540)</f>
        <v>1435270.63</v>
      </c>
      <c r="J541" s="239"/>
      <c r="K541" s="108"/>
    </row>
    <row r="542" spans="1:11" ht="12.75">
      <c r="A542" s="240"/>
      <c r="B542" s="240"/>
      <c r="C542" s="240" t="s">
        <v>179</v>
      </c>
      <c r="D542" s="241">
        <f aca="true" t="shared" si="11" ref="D542:I542">D545+D547+D550+D556+D564+D569+D571+D575+D578+D581+D583+D585+D587+D593+D606+D610+D612+D614+D618+D622+D628+D630+D634</f>
        <v>5006532.9799999995</v>
      </c>
      <c r="E542" s="241">
        <f t="shared" si="11"/>
        <v>2113817.94</v>
      </c>
      <c r="F542" s="241">
        <f t="shared" si="11"/>
        <v>1633750.0000000002</v>
      </c>
      <c r="G542" s="241">
        <f t="shared" si="11"/>
        <v>1088071.8199999998</v>
      </c>
      <c r="H542" s="241">
        <f t="shared" si="11"/>
        <v>166370.22000000003</v>
      </c>
      <c r="I542" s="241">
        <f t="shared" si="11"/>
        <v>4523</v>
      </c>
      <c r="J542" s="241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37">
        <v>414311</v>
      </c>
      <c r="B543" s="237"/>
      <c r="C543" s="237" t="s">
        <v>19</v>
      </c>
      <c r="D543" s="238">
        <v>329847</v>
      </c>
      <c r="E543" s="238">
        <v>163848</v>
      </c>
      <c r="F543" s="238"/>
      <c r="G543" s="238">
        <v>165999</v>
      </c>
      <c r="H543" s="238"/>
      <c r="I543" s="238"/>
      <c r="J543" s="239"/>
      <c r="K543" s="84"/>
    </row>
    <row r="544" spans="1:11" ht="12.75">
      <c r="A544" s="237">
        <v>414314</v>
      </c>
      <c r="B544" s="237"/>
      <c r="C544" s="237" t="s">
        <v>20</v>
      </c>
      <c r="D544" s="238">
        <v>136782</v>
      </c>
      <c r="E544" s="238"/>
      <c r="F544" s="238"/>
      <c r="G544" s="238">
        <v>136782</v>
      </c>
      <c r="H544" s="238"/>
      <c r="I544" s="238"/>
      <c r="J544" s="239"/>
      <c r="K544" s="84"/>
    </row>
    <row r="545" spans="1:11" ht="12.75">
      <c r="A545" s="240">
        <v>4143</v>
      </c>
      <c r="B545" s="240"/>
      <c r="C545" s="240" t="s">
        <v>99</v>
      </c>
      <c r="D545" s="241">
        <f>SUM(D543:D544)</f>
        <v>466629</v>
      </c>
      <c r="E545" s="241">
        <f>SUM(E543:E544)</f>
        <v>163848</v>
      </c>
      <c r="F545" s="241"/>
      <c r="G545" s="241">
        <f>SUM(G543:G544)</f>
        <v>302781</v>
      </c>
      <c r="H545" s="241"/>
      <c r="I545" s="241"/>
      <c r="J545" s="239">
        <v>0</v>
      </c>
      <c r="K545" s="84"/>
    </row>
    <row r="546" spans="1:11" ht="12.75">
      <c r="A546" s="237">
        <v>421111</v>
      </c>
      <c r="B546" s="237"/>
      <c r="C546" s="237" t="s">
        <v>22</v>
      </c>
      <c r="D546" s="238">
        <v>329191.55</v>
      </c>
      <c r="E546" s="238">
        <v>278481.54</v>
      </c>
      <c r="F546" s="238"/>
      <c r="G546" s="238">
        <v>41210.21</v>
      </c>
      <c r="H546" s="238">
        <v>4976.8</v>
      </c>
      <c r="I546" s="238">
        <v>4523</v>
      </c>
      <c r="J546" s="239"/>
      <c r="K546" s="84"/>
    </row>
    <row r="547" spans="1:11" ht="12.75">
      <c r="A547" s="240">
        <v>4211</v>
      </c>
      <c r="B547" s="240"/>
      <c r="C547" s="240" t="s">
        <v>101</v>
      </c>
      <c r="D547" s="241">
        <f>SUM(D546)</f>
        <v>329191.55</v>
      </c>
      <c r="E547" s="241">
        <f>SUM(E546)</f>
        <v>278481.54</v>
      </c>
      <c r="F547" s="241"/>
      <c r="G547" s="241">
        <f>SUM(G546)</f>
        <v>41210.21</v>
      </c>
      <c r="H547" s="241">
        <f>SUM(H546)</f>
        <v>4976.8</v>
      </c>
      <c r="I547" s="241">
        <f>SUM(I546)</f>
        <v>4523</v>
      </c>
      <c r="J547" s="242">
        <v>400000</v>
      </c>
      <c r="K547" s="90">
        <f>D547*100/J547</f>
        <v>82.2978875</v>
      </c>
    </row>
    <row r="548" spans="1:11" ht="12.75">
      <c r="A548" s="237">
        <v>421311</v>
      </c>
      <c r="B548" s="237"/>
      <c r="C548" s="237" t="s">
        <v>25</v>
      </c>
      <c r="D548" s="238">
        <v>402958.32</v>
      </c>
      <c r="E548" s="238">
        <v>115403.72</v>
      </c>
      <c r="F548" s="238">
        <v>287554.6</v>
      </c>
      <c r="G548" s="238"/>
      <c r="H548" s="238"/>
      <c r="I548" s="238"/>
      <c r="J548" s="239"/>
      <c r="K548" s="84"/>
    </row>
    <row r="549" spans="1:11" ht="12.75">
      <c r="A549" s="237">
        <v>421324</v>
      </c>
      <c r="B549" s="237"/>
      <c r="C549" s="237" t="s">
        <v>26</v>
      </c>
      <c r="D549" s="238">
        <v>223094.73</v>
      </c>
      <c r="E549" s="238">
        <v>173122.8</v>
      </c>
      <c r="F549" s="238"/>
      <c r="G549" s="238"/>
      <c r="H549" s="238">
        <v>49971.93</v>
      </c>
      <c r="I549" s="238"/>
      <c r="J549" s="239"/>
      <c r="K549" s="84"/>
    </row>
    <row r="550" spans="1:11" ht="12.75">
      <c r="A550" s="240">
        <v>4213</v>
      </c>
      <c r="B550" s="240"/>
      <c r="C550" s="240" t="s">
        <v>103</v>
      </c>
      <c r="D550" s="241">
        <f>SUM(D548:D549)</f>
        <v>626053.05</v>
      </c>
      <c r="E550" s="241">
        <f>SUM(E548:E549)</f>
        <v>288526.52</v>
      </c>
      <c r="F550" s="241">
        <f>SUM(F548:F549)</f>
        <v>287554.6</v>
      </c>
      <c r="G550" s="241">
        <f>SUM(G548:G549)</f>
        <v>0</v>
      </c>
      <c r="H550" s="241">
        <f>SUM(H548:H549)</f>
        <v>49971.93</v>
      </c>
      <c r="I550" s="241"/>
      <c r="J550" s="242">
        <f>750000+400000</f>
        <v>1150000</v>
      </c>
      <c r="K550" s="84"/>
    </row>
    <row r="551" spans="1:11" ht="12.75">
      <c r="A551" s="237">
        <v>421411</v>
      </c>
      <c r="B551" s="237"/>
      <c r="C551" s="237" t="s">
        <v>27</v>
      </c>
      <c r="D551" s="238">
        <v>34715.6</v>
      </c>
      <c r="E551" s="238">
        <v>34715.6</v>
      </c>
      <c r="F551" s="238"/>
      <c r="G551" s="238"/>
      <c r="H551" s="238"/>
      <c r="I551" s="238"/>
      <c r="J551" s="239"/>
      <c r="K551" s="84"/>
    </row>
    <row r="552" spans="1:11" ht="12.75">
      <c r="A552" s="237">
        <v>421412</v>
      </c>
      <c r="B552" s="237"/>
      <c r="C552" s="237" t="s">
        <v>28</v>
      </c>
      <c r="D552" s="238">
        <v>11800</v>
      </c>
      <c r="E552" s="238"/>
      <c r="F552" s="238"/>
      <c r="G552" s="238">
        <v>11800</v>
      </c>
      <c r="H552" s="238"/>
      <c r="I552" s="238"/>
      <c r="J552" s="239"/>
      <c r="K552" s="84"/>
    </row>
    <row r="553" spans="1:11" ht="12.75">
      <c r="A553" s="237">
        <v>421414</v>
      </c>
      <c r="B553" s="237"/>
      <c r="C553" s="237" t="s">
        <v>29</v>
      </c>
      <c r="D553" s="238">
        <v>14139.92</v>
      </c>
      <c r="E553" s="238"/>
      <c r="F553" s="238"/>
      <c r="G553" s="238">
        <v>14139.92</v>
      </c>
      <c r="H553" s="238"/>
      <c r="I553" s="238"/>
      <c r="J553" s="239"/>
      <c r="K553" s="84"/>
    </row>
    <row r="554" spans="1:11" ht="12.75">
      <c r="A554" s="237">
        <v>421421</v>
      </c>
      <c r="B554" s="237"/>
      <c r="C554" s="237" t="s">
        <v>30</v>
      </c>
      <c r="D554" s="238">
        <v>8000</v>
      </c>
      <c r="E554" s="238">
        <v>8000</v>
      </c>
      <c r="F554" s="238"/>
      <c r="G554" s="238"/>
      <c r="H554" s="238"/>
      <c r="I554" s="238"/>
      <c r="J554" s="239"/>
      <c r="K554" s="84"/>
    </row>
    <row r="555" spans="1:11" ht="12.75">
      <c r="A555" s="237">
        <v>421422</v>
      </c>
      <c r="B555" s="237"/>
      <c r="C555" s="237" t="s">
        <v>31</v>
      </c>
      <c r="D555" s="238">
        <v>44345</v>
      </c>
      <c r="E555" s="238">
        <v>44345</v>
      </c>
      <c r="F555" s="238"/>
      <c r="G555" s="238"/>
      <c r="H555" s="238"/>
      <c r="I555" s="238"/>
      <c r="J555" s="239"/>
      <c r="K555" s="84"/>
    </row>
    <row r="556" spans="1:11" ht="12.75">
      <c r="A556" s="240">
        <v>4214</v>
      </c>
      <c r="B556" s="240"/>
      <c r="C556" s="240" t="s">
        <v>104</v>
      </c>
      <c r="D556" s="241">
        <f>SUM(D551:D555)</f>
        <v>113000.51999999999</v>
      </c>
      <c r="E556" s="241">
        <f>SUM(E551:E555)</f>
        <v>87060.6</v>
      </c>
      <c r="F556" s="241"/>
      <c r="G556" s="241">
        <f>SUM(G551:G555)</f>
        <v>25939.92</v>
      </c>
      <c r="H556" s="241"/>
      <c r="I556" s="241"/>
      <c r="J556" s="242">
        <v>600000</v>
      </c>
      <c r="K556" s="84"/>
    </row>
    <row r="557" spans="1:11" ht="12.75">
      <c r="A557" s="300"/>
      <c r="B557" s="300"/>
      <c r="C557" s="300"/>
      <c r="D557" s="301"/>
      <c r="E557" s="301"/>
      <c r="F557" s="301"/>
      <c r="G557" s="301"/>
      <c r="H557" s="301"/>
      <c r="I557" s="301"/>
      <c r="J557" s="239"/>
      <c r="K557" s="84"/>
    </row>
    <row r="558" spans="1:11" ht="13.5" thickBot="1">
      <c r="A558" s="240"/>
      <c r="B558" s="240"/>
      <c r="C558" s="240"/>
      <c r="D558" s="241"/>
      <c r="E558" s="241"/>
      <c r="F558" s="241"/>
      <c r="G558" s="241"/>
      <c r="H558" s="241"/>
      <c r="I558" s="287"/>
      <c r="J558" s="273"/>
      <c r="K558" s="85" t="s">
        <v>172</v>
      </c>
    </row>
    <row r="559" spans="1:11" ht="34.5" thickBot="1">
      <c r="A559" s="296" t="s">
        <v>0</v>
      </c>
      <c r="B559" s="232" t="s">
        <v>208</v>
      </c>
      <c r="C559" s="296" t="s">
        <v>1</v>
      </c>
      <c r="D559" s="296" t="s">
        <v>2</v>
      </c>
      <c r="E559" s="296" t="s">
        <v>3</v>
      </c>
      <c r="F559" s="297" t="s">
        <v>4</v>
      </c>
      <c r="G559" s="296" t="s">
        <v>133</v>
      </c>
      <c r="H559" s="296" t="s">
        <v>6</v>
      </c>
      <c r="I559" s="298" t="s">
        <v>7</v>
      </c>
      <c r="J559" s="302" t="s">
        <v>175</v>
      </c>
      <c r="K559" s="86" t="s">
        <v>170</v>
      </c>
    </row>
    <row r="560" spans="1:11" ht="12.75">
      <c r="A560" s="237">
        <v>421512</v>
      </c>
      <c r="B560" s="237"/>
      <c r="C560" s="237" t="s">
        <v>32</v>
      </c>
      <c r="D560" s="238">
        <v>118529.28</v>
      </c>
      <c r="E560" s="238">
        <v>117929.28</v>
      </c>
      <c r="F560" s="238"/>
      <c r="G560" s="238">
        <v>600</v>
      </c>
      <c r="H560" s="238"/>
      <c r="I560" s="238"/>
      <c r="J560" s="235">
        <v>130000</v>
      </c>
      <c r="K560" s="83"/>
    </row>
    <row r="561" spans="1:11" ht="12.75">
      <c r="A561" s="237">
        <v>421513</v>
      </c>
      <c r="B561" s="237"/>
      <c r="C561" s="237" t="s">
        <v>33</v>
      </c>
      <c r="D561" s="238">
        <v>175635.68</v>
      </c>
      <c r="E561" s="238">
        <v>175635.68</v>
      </c>
      <c r="F561" s="238"/>
      <c r="G561" s="238"/>
      <c r="H561" s="238"/>
      <c r="I561" s="238"/>
      <c r="J561" s="239"/>
      <c r="K561" s="84"/>
    </row>
    <row r="562" spans="1:11" ht="12.75">
      <c r="A562" s="237">
        <v>421519</v>
      </c>
      <c r="B562" s="237"/>
      <c r="C562" s="237" t="s">
        <v>34</v>
      </c>
      <c r="D562" s="238">
        <v>458165.39</v>
      </c>
      <c r="E562" s="238">
        <v>458165.39</v>
      </c>
      <c r="F562" s="238"/>
      <c r="G562" s="238"/>
      <c r="H562" s="238"/>
      <c r="I562" s="238"/>
      <c r="J562" s="239">
        <v>1860000</v>
      </c>
      <c r="K562" s="84"/>
    </row>
    <row r="563" spans="1:11" ht="12.75">
      <c r="A563" s="237">
        <v>421521</v>
      </c>
      <c r="B563" s="237"/>
      <c r="C563" s="237" t="s">
        <v>35</v>
      </c>
      <c r="D563" s="238">
        <v>36468</v>
      </c>
      <c r="E563" s="238">
        <v>36468</v>
      </c>
      <c r="F563" s="238"/>
      <c r="G563" s="238"/>
      <c r="H563" s="238"/>
      <c r="I563" s="238"/>
      <c r="J563" s="239">
        <v>220000</v>
      </c>
      <c r="K563" s="84"/>
    </row>
    <row r="564" spans="1:11" ht="12.75">
      <c r="A564" s="240">
        <v>4215</v>
      </c>
      <c r="B564" s="240"/>
      <c r="C564" s="240" t="s">
        <v>169</v>
      </c>
      <c r="D564" s="241">
        <f>SUM(D560:D563)</f>
        <v>788798.35</v>
      </c>
      <c r="E564" s="241">
        <f>SUM(E560:E563)</f>
        <v>788198.35</v>
      </c>
      <c r="F564" s="241"/>
      <c r="G564" s="241">
        <f>SUM(G560:G563)</f>
        <v>600</v>
      </c>
      <c r="H564" s="241"/>
      <c r="I564" s="241"/>
      <c r="J564" s="242">
        <f>SUM(J560:J563)</f>
        <v>2210000</v>
      </c>
      <c r="K564" s="84"/>
    </row>
    <row r="565" spans="1:11" ht="12.75">
      <c r="A565" s="237">
        <v>422111</v>
      </c>
      <c r="B565" s="237"/>
      <c r="C565" s="237" t="s">
        <v>36</v>
      </c>
      <c r="D565" s="238">
        <v>42400</v>
      </c>
      <c r="E565" s="238"/>
      <c r="F565" s="238"/>
      <c r="G565" s="238">
        <v>42400</v>
      </c>
      <c r="H565" s="238"/>
      <c r="I565" s="238"/>
      <c r="J565" s="239"/>
      <c r="K565" s="84"/>
    </row>
    <row r="566" spans="1:11" ht="12.75">
      <c r="A566" s="237">
        <v>422121</v>
      </c>
      <c r="B566" s="237"/>
      <c r="C566" s="237" t="s">
        <v>37</v>
      </c>
      <c r="D566" s="238">
        <v>29806.81</v>
      </c>
      <c r="E566" s="238"/>
      <c r="F566" s="238"/>
      <c r="G566" s="238">
        <v>29806.81</v>
      </c>
      <c r="H566" s="238"/>
      <c r="I566" s="238"/>
      <c r="J566" s="239"/>
      <c r="K566" s="84"/>
    </row>
    <row r="567" spans="1:11" ht="12.75">
      <c r="A567" s="237">
        <v>422194</v>
      </c>
      <c r="B567" s="237"/>
      <c r="C567" s="237" t="s">
        <v>38</v>
      </c>
      <c r="D567" s="238">
        <v>0</v>
      </c>
      <c r="E567" s="238"/>
      <c r="F567" s="238"/>
      <c r="G567" s="238"/>
      <c r="H567" s="238"/>
      <c r="I567" s="238"/>
      <c r="J567" s="239"/>
      <c r="K567" s="84"/>
    </row>
    <row r="568" spans="1:11" ht="12.75">
      <c r="A568" s="237">
        <v>422199</v>
      </c>
      <c r="B568" s="237"/>
      <c r="C568" s="237" t="s">
        <v>39</v>
      </c>
      <c r="D568" s="238">
        <v>15600</v>
      </c>
      <c r="E568" s="238"/>
      <c r="F568" s="238"/>
      <c r="G568" s="238">
        <v>15600</v>
      </c>
      <c r="H568" s="238"/>
      <c r="I568" s="238"/>
      <c r="J568" s="239"/>
      <c r="K568" s="84"/>
    </row>
    <row r="569" spans="1:11" ht="12.75">
      <c r="A569" s="240">
        <v>4221</v>
      </c>
      <c r="B569" s="240"/>
      <c r="C569" s="240" t="s">
        <v>105</v>
      </c>
      <c r="D569" s="241">
        <f>SUM(D565:D568)</f>
        <v>87806.81</v>
      </c>
      <c r="E569" s="241"/>
      <c r="F569" s="241"/>
      <c r="G569" s="241">
        <f>SUM(G565:G568)</f>
        <v>87806.81</v>
      </c>
      <c r="H569" s="241"/>
      <c r="I569" s="241"/>
      <c r="J569" s="239"/>
      <c r="K569" s="84"/>
    </row>
    <row r="570" spans="1:11" ht="12.75">
      <c r="A570" s="237">
        <v>423291</v>
      </c>
      <c r="B570" s="237"/>
      <c r="C570" s="237" t="s">
        <v>40</v>
      </c>
      <c r="D570" s="238">
        <v>68748</v>
      </c>
      <c r="E570" s="238">
        <v>45148</v>
      </c>
      <c r="F570" s="238"/>
      <c r="G570" s="238">
        <v>23600</v>
      </c>
      <c r="H570" s="238"/>
      <c r="I570" s="238"/>
      <c r="J570" s="239"/>
      <c r="K570" s="84"/>
    </row>
    <row r="571" spans="1:11" ht="12.75">
      <c r="A571" s="240">
        <v>4232</v>
      </c>
      <c r="B571" s="240"/>
      <c r="C571" s="240" t="s">
        <v>106</v>
      </c>
      <c r="D571" s="241">
        <f>SUM(D570)</f>
        <v>68748</v>
      </c>
      <c r="E571" s="241">
        <f>SUM(E570)</f>
        <v>45148</v>
      </c>
      <c r="F571" s="241"/>
      <c r="G571" s="241">
        <f>SUM(G570)</f>
        <v>23600</v>
      </c>
      <c r="H571" s="241"/>
      <c r="I571" s="241"/>
      <c r="J571" s="242">
        <v>100000</v>
      </c>
      <c r="K571" s="84"/>
    </row>
    <row r="572" spans="1:11" ht="12.75">
      <c r="A572" s="237">
        <v>423311</v>
      </c>
      <c r="B572" s="237"/>
      <c r="C572" s="237" t="s">
        <v>42</v>
      </c>
      <c r="D572" s="238">
        <v>90000</v>
      </c>
      <c r="E572" s="238"/>
      <c r="F572" s="238"/>
      <c r="G572" s="238">
        <v>90000</v>
      </c>
      <c r="H572" s="238"/>
      <c r="I572" s="238"/>
      <c r="J572" s="239"/>
      <c r="K572" s="84"/>
    </row>
    <row r="573" spans="1:11" ht="12.75">
      <c r="A573" s="237">
        <v>423321</v>
      </c>
      <c r="B573" s="237"/>
      <c r="C573" s="237" t="s">
        <v>41</v>
      </c>
      <c r="D573" s="238">
        <v>2720</v>
      </c>
      <c r="E573" s="238"/>
      <c r="F573" s="238"/>
      <c r="G573" s="238">
        <v>2720</v>
      </c>
      <c r="H573" s="238"/>
      <c r="I573" s="238"/>
      <c r="J573" s="239"/>
      <c r="K573" s="84"/>
    </row>
    <row r="574" spans="1:11" ht="12.75">
      <c r="A574" s="237">
        <v>4233910</v>
      </c>
      <c r="B574" s="237"/>
      <c r="C574" s="237" t="s">
        <v>130</v>
      </c>
      <c r="D574" s="238">
        <v>62307.99</v>
      </c>
      <c r="E574" s="238"/>
      <c r="F574" s="238"/>
      <c r="G574" s="238">
        <v>62307.99</v>
      </c>
      <c r="H574" s="238"/>
      <c r="I574" s="238"/>
      <c r="J574" s="239"/>
      <c r="K574" s="84"/>
    </row>
    <row r="575" spans="1:11" ht="12.75">
      <c r="A575" s="240">
        <v>4233</v>
      </c>
      <c r="B575" s="240"/>
      <c r="C575" s="240" t="s">
        <v>107</v>
      </c>
      <c r="D575" s="241">
        <f>SUM(D572:D574)</f>
        <v>155027.99</v>
      </c>
      <c r="E575" s="241"/>
      <c r="F575" s="241"/>
      <c r="G575" s="241">
        <f>SUM(G572:G574)</f>
        <v>155027.99</v>
      </c>
      <c r="H575" s="241"/>
      <c r="I575" s="241"/>
      <c r="J575" s="239"/>
      <c r="K575" s="84"/>
    </row>
    <row r="576" spans="1:11" ht="12.75">
      <c r="A576" s="237">
        <v>423421</v>
      </c>
      <c r="B576" s="237"/>
      <c r="C576" s="237" t="s">
        <v>43</v>
      </c>
      <c r="D576" s="238">
        <v>6499.99</v>
      </c>
      <c r="E576" s="238"/>
      <c r="F576" s="238"/>
      <c r="G576" s="238">
        <v>6499.99</v>
      </c>
      <c r="H576" s="238"/>
      <c r="I576" s="238"/>
      <c r="J576" s="239"/>
      <c r="K576" s="84"/>
    </row>
    <row r="577" spans="1:11" ht="12.75">
      <c r="A577" s="252">
        <v>423432</v>
      </c>
      <c r="B577" s="252"/>
      <c r="C577" s="252" t="s">
        <v>44</v>
      </c>
      <c r="D577" s="253">
        <v>53980.44</v>
      </c>
      <c r="E577" s="253"/>
      <c r="F577" s="253"/>
      <c r="G577" s="253">
        <v>53980.44</v>
      </c>
      <c r="H577" s="253"/>
      <c r="I577" s="253"/>
      <c r="J577" s="239"/>
      <c r="K577" s="84"/>
    </row>
    <row r="578" spans="1:11" ht="12.75">
      <c r="A578" s="240">
        <v>4234</v>
      </c>
      <c r="B578" s="240"/>
      <c r="C578" s="240" t="s">
        <v>108</v>
      </c>
      <c r="D578" s="241">
        <f>SUM(D576:D577)</f>
        <v>60480.43</v>
      </c>
      <c r="E578" s="241"/>
      <c r="F578" s="241"/>
      <c r="G578" s="241">
        <f>SUM(G576:G577)</f>
        <v>60480.43</v>
      </c>
      <c r="H578" s="241"/>
      <c r="I578" s="241"/>
      <c r="J578" s="239"/>
      <c r="K578" s="84"/>
    </row>
    <row r="579" spans="1:11" ht="12.75">
      <c r="A579" s="237">
        <v>423539</v>
      </c>
      <c r="B579" s="237"/>
      <c r="C579" s="237" t="s">
        <v>131</v>
      </c>
      <c r="D579" s="238">
        <v>88000</v>
      </c>
      <c r="E579" s="238"/>
      <c r="F579" s="238"/>
      <c r="G579" s="238"/>
      <c r="H579" s="238">
        <v>88000</v>
      </c>
      <c r="I579" s="238"/>
      <c r="J579" s="239"/>
      <c r="K579" s="84"/>
    </row>
    <row r="580" spans="1:11" ht="12.75">
      <c r="A580" s="237">
        <v>423599</v>
      </c>
      <c r="B580" s="237"/>
      <c r="C580" s="237" t="s">
        <v>45</v>
      </c>
      <c r="D580" s="238">
        <v>101790.15</v>
      </c>
      <c r="E580" s="238"/>
      <c r="F580" s="238"/>
      <c r="G580" s="238">
        <v>101790.15</v>
      </c>
      <c r="H580" s="238"/>
      <c r="I580" s="238"/>
      <c r="J580" s="239"/>
      <c r="K580" s="84"/>
    </row>
    <row r="581" spans="1:11" ht="12.75">
      <c r="A581" s="240">
        <v>4235</v>
      </c>
      <c r="B581" s="240"/>
      <c r="C581" s="240" t="s">
        <v>109</v>
      </c>
      <c r="D581" s="241">
        <f>SUM(D579:D580)</f>
        <v>189790.15</v>
      </c>
      <c r="E581" s="241"/>
      <c r="F581" s="241"/>
      <c r="G581" s="241">
        <f>SUM(G579:G580)</f>
        <v>101790.15</v>
      </c>
      <c r="H581" s="241">
        <f>SUM(H579:H580)</f>
        <v>88000</v>
      </c>
      <c r="I581" s="241"/>
      <c r="J581" s="239">
        <v>50000</v>
      </c>
      <c r="K581" s="84"/>
    </row>
    <row r="582" spans="1:11" ht="12.75">
      <c r="A582" s="237">
        <v>423611</v>
      </c>
      <c r="B582" s="237"/>
      <c r="C582" s="237" t="s">
        <v>46</v>
      </c>
      <c r="D582" s="238">
        <v>612933.3</v>
      </c>
      <c r="E582" s="238"/>
      <c r="F582" s="238">
        <v>612933.3</v>
      </c>
      <c r="G582" s="238"/>
      <c r="H582" s="238"/>
      <c r="I582" s="238"/>
      <c r="J582" s="239"/>
      <c r="K582" s="84"/>
    </row>
    <row r="583" spans="1:11" ht="12.75">
      <c r="A583" s="240">
        <v>4236</v>
      </c>
      <c r="B583" s="240"/>
      <c r="C583" s="240" t="s">
        <v>110</v>
      </c>
      <c r="D583" s="241">
        <f>SUM(D582)</f>
        <v>612933.3</v>
      </c>
      <c r="E583" s="241">
        <f>SUM(E582)</f>
        <v>0</v>
      </c>
      <c r="F583" s="241">
        <f>SUM(F582)</f>
        <v>612933.3</v>
      </c>
      <c r="G583" s="241"/>
      <c r="H583" s="241"/>
      <c r="I583" s="241"/>
      <c r="J583" s="242">
        <v>2800000</v>
      </c>
      <c r="K583" s="84"/>
    </row>
    <row r="584" spans="1:11" ht="12.75">
      <c r="A584" s="237">
        <v>423711</v>
      </c>
      <c r="B584" s="237"/>
      <c r="C584" s="237" t="s">
        <v>47</v>
      </c>
      <c r="D584" s="238">
        <v>6768.34</v>
      </c>
      <c r="E584" s="238"/>
      <c r="F584" s="238"/>
      <c r="G584" s="238">
        <v>6768.34</v>
      </c>
      <c r="H584" s="238"/>
      <c r="I584" s="238"/>
      <c r="J584" s="239"/>
      <c r="K584" s="84"/>
    </row>
    <row r="585" spans="1:11" ht="12.75">
      <c r="A585" s="240">
        <v>4237</v>
      </c>
      <c r="B585" s="240"/>
      <c r="C585" s="240" t="s">
        <v>47</v>
      </c>
      <c r="D585" s="241">
        <f>SUM(D584)</f>
        <v>6768.34</v>
      </c>
      <c r="E585" s="241"/>
      <c r="F585" s="241"/>
      <c r="G585" s="241">
        <f>SUM(G584)</f>
        <v>6768.34</v>
      </c>
      <c r="H585" s="241"/>
      <c r="I585" s="241"/>
      <c r="J585" s="239"/>
      <c r="K585" s="84"/>
    </row>
    <row r="586" spans="1:11" ht="12.75">
      <c r="A586" s="237">
        <v>423911</v>
      </c>
      <c r="B586" s="237"/>
      <c r="C586" s="237" t="s">
        <v>48</v>
      </c>
      <c r="D586" s="238">
        <v>26048</v>
      </c>
      <c r="E586" s="238">
        <v>26048</v>
      </c>
      <c r="F586" s="238"/>
      <c r="G586" s="238"/>
      <c r="H586" s="238"/>
      <c r="I586" s="238"/>
      <c r="J586" s="239"/>
      <c r="K586" s="84"/>
    </row>
    <row r="587" spans="1:11" ht="12.75">
      <c r="A587" s="240">
        <v>4239</v>
      </c>
      <c r="B587" s="240"/>
      <c r="C587" s="240" t="s">
        <v>48</v>
      </c>
      <c r="D587" s="241">
        <f>SUM(D586)</f>
        <v>26048</v>
      </c>
      <c r="E587" s="241">
        <f>SUM(E586)</f>
        <v>26048</v>
      </c>
      <c r="F587" s="241"/>
      <c r="G587" s="241"/>
      <c r="H587" s="241"/>
      <c r="I587" s="241"/>
      <c r="J587" s="242">
        <v>150000</v>
      </c>
      <c r="K587" s="84"/>
    </row>
    <row r="588" spans="1:11" ht="12.75">
      <c r="A588" s="237">
        <v>424351</v>
      </c>
      <c r="B588" s="237"/>
      <c r="C588" s="237" t="s">
        <v>49</v>
      </c>
      <c r="D588" s="238">
        <v>0</v>
      </c>
      <c r="E588" s="238"/>
      <c r="F588" s="238"/>
      <c r="G588" s="238"/>
      <c r="H588" s="238"/>
      <c r="I588" s="238"/>
      <c r="J588" s="239"/>
      <c r="K588" s="84"/>
    </row>
    <row r="589" spans="1:11" ht="12.75">
      <c r="A589" s="240">
        <v>4243</v>
      </c>
      <c r="B589" s="240"/>
      <c r="C589" s="240" t="s">
        <v>111</v>
      </c>
      <c r="D589" s="241">
        <f>SUM(D588)</f>
        <v>0</v>
      </c>
      <c r="E589" s="241"/>
      <c r="F589" s="241"/>
      <c r="G589" s="241"/>
      <c r="H589" s="241"/>
      <c r="I589" s="241"/>
      <c r="J589" s="242">
        <v>120000</v>
      </c>
      <c r="K589" s="84"/>
    </row>
    <row r="590" spans="1:11" ht="12.75">
      <c r="A590" s="237">
        <v>425112</v>
      </c>
      <c r="B590" s="237"/>
      <c r="C590" s="237" t="s">
        <v>50</v>
      </c>
      <c r="D590" s="238">
        <v>10358.04</v>
      </c>
      <c r="E590" s="238">
        <v>10358.04</v>
      </c>
      <c r="F590" s="238"/>
      <c r="G590" s="238"/>
      <c r="H590" s="238"/>
      <c r="I590" s="238"/>
      <c r="J590" s="239"/>
      <c r="K590" s="84"/>
    </row>
    <row r="591" spans="1:11" ht="12.75">
      <c r="A591" s="237">
        <v>425115</v>
      </c>
      <c r="B591" s="237"/>
      <c r="C591" s="237" t="s">
        <v>51</v>
      </c>
      <c r="D591" s="238">
        <v>11145.1</v>
      </c>
      <c r="E591" s="238">
        <v>11145.1</v>
      </c>
      <c r="F591" s="238"/>
      <c r="G591" s="238"/>
      <c r="H591" s="238"/>
      <c r="I591" s="238"/>
      <c r="J591" s="239"/>
      <c r="K591" s="84"/>
    </row>
    <row r="592" spans="1:11" ht="12.75">
      <c r="A592" s="237">
        <v>425117</v>
      </c>
      <c r="B592" s="237"/>
      <c r="C592" s="237" t="s">
        <v>52</v>
      </c>
      <c r="D592" s="238">
        <v>35272.32</v>
      </c>
      <c r="E592" s="238">
        <v>15361</v>
      </c>
      <c r="F592" s="238"/>
      <c r="G592" s="238"/>
      <c r="H592" s="238">
        <v>19911.32</v>
      </c>
      <c r="I592" s="238"/>
      <c r="J592" s="239"/>
      <c r="K592" s="84"/>
    </row>
    <row r="593" spans="1:11" ht="12.75">
      <c r="A593" s="240">
        <v>4251</v>
      </c>
      <c r="B593" s="240"/>
      <c r="C593" s="240" t="s">
        <v>112</v>
      </c>
      <c r="D593" s="241">
        <f>SUM(D590:D592)</f>
        <v>56775.46</v>
      </c>
      <c r="E593" s="241">
        <f>SUM(E588:E592)</f>
        <v>36864.14</v>
      </c>
      <c r="F593" s="241"/>
      <c r="G593" s="241">
        <f>SUM(G588:G592)</f>
        <v>0</v>
      </c>
      <c r="H593" s="241">
        <f>SUM(H592)</f>
        <v>19911.32</v>
      </c>
      <c r="I593" s="241"/>
      <c r="J593" s="242">
        <v>162000</v>
      </c>
      <c r="K593" s="84"/>
    </row>
    <row r="594" spans="1:11" ht="12.75">
      <c r="A594" s="237">
        <v>425211</v>
      </c>
      <c r="B594" s="237"/>
      <c r="C594" s="237" t="s">
        <v>53</v>
      </c>
      <c r="D594" s="238">
        <v>18172</v>
      </c>
      <c r="E594" s="238">
        <v>18172</v>
      </c>
      <c r="F594" s="238"/>
      <c r="G594" s="238"/>
      <c r="H594" s="238"/>
      <c r="I594" s="238"/>
      <c r="J594" s="239">
        <v>750000</v>
      </c>
      <c r="K594" s="84"/>
    </row>
    <row r="595" spans="1:11" ht="12.75">
      <c r="A595" s="237">
        <v>425212</v>
      </c>
      <c r="B595" s="237"/>
      <c r="C595" s="237" t="s">
        <v>54</v>
      </c>
      <c r="D595" s="238">
        <v>0</v>
      </c>
      <c r="E595" s="238"/>
      <c r="F595" s="238"/>
      <c r="G595" s="238"/>
      <c r="H595" s="238"/>
      <c r="I595" s="238"/>
      <c r="J595" s="239">
        <v>600000</v>
      </c>
      <c r="K595" s="84"/>
    </row>
    <row r="596" spans="1:11" ht="12.75">
      <c r="A596" s="237">
        <v>425213</v>
      </c>
      <c r="B596" s="237"/>
      <c r="C596" s="237" t="s">
        <v>55</v>
      </c>
      <c r="D596" s="238">
        <v>0</v>
      </c>
      <c r="E596" s="238"/>
      <c r="F596" s="238"/>
      <c r="G596" s="238"/>
      <c r="H596" s="238"/>
      <c r="I596" s="238"/>
      <c r="J596" s="239"/>
      <c r="K596" s="84"/>
    </row>
    <row r="597" spans="1:11" ht="12.75">
      <c r="A597" s="237">
        <v>425222</v>
      </c>
      <c r="B597" s="237"/>
      <c r="C597" s="237" t="s">
        <v>56</v>
      </c>
      <c r="D597" s="238">
        <v>44185</v>
      </c>
      <c r="E597" s="238">
        <v>44185</v>
      </c>
      <c r="F597" s="238"/>
      <c r="G597" s="238"/>
      <c r="H597" s="238"/>
      <c r="I597" s="238"/>
      <c r="J597" s="239"/>
      <c r="K597" s="84"/>
    </row>
    <row r="598" spans="1:11" ht="12.75">
      <c r="A598" s="237">
        <v>425223</v>
      </c>
      <c r="B598" s="237"/>
      <c r="C598" s="237" t="s">
        <v>57</v>
      </c>
      <c r="D598" s="238">
        <v>38550</v>
      </c>
      <c r="E598" s="238">
        <v>38550</v>
      </c>
      <c r="F598" s="238"/>
      <c r="G598" s="238"/>
      <c r="H598" s="238"/>
      <c r="I598" s="238"/>
      <c r="J598" s="239"/>
      <c r="K598" s="84"/>
    </row>
    <row r="599" spans="1:11" ht="12.75">
      <c r="A599" s="237">
        <v>425225</v>
      </c>
      <c r="B599" s="237"/>
      <c r="C599" s="237" t="s">
        <v>58</v>
      </c>
      <c r="D599" s="238">
        <v>0</v>
      </c>
      <c r="E599" s="238"/>
      <c r="F599" s="238"/>
      <c r="G599" s="238"/>
      <c r="H599" s="238"/>
      <c r="I599" s="238"/>
      <c r="J599" s="239"/>
      <c r="K599" s="84"/>
    </row>
    <row r="600" spans="1:11" ht="12.75">
      <c r="A600" s="237">
        <v>425251</v>
      </c>
      <c r="B600" s="237"/>
      <c r="C600" s="237" t="s">
        <v>59</v>
      </c>
      <c r="D600" s="238">
        <v>106038</v>
      </c>
      <c r="E600" s="238"/>
      <c r="F600" s="238"/>
      <c r="G600" s="238">
        <v>106038</v>
      </c>
      <c r="H600" s="238"/>
      <c r="I600" s="238"/>
      <c r="J600" s="239">
        <v>850000</v>
      </c>
      <c r="K600" s="84"/>
    </row>
    <row r="601" spans="1:11" ht="12.75">
      <c r="A601" s="237">
        <v>425252</v>
      </c>
      <c r="B601" s="237"/>
      <c r="C601" s="237" t="s">
        <v>60</v>
      </c>
      <c r="D601" s="238">
        <v>0</v>
      </c>
      <c r="E601" s="238"/>
      <c r="F601" s="238"/>
      <c r="G601" s="238"/>
      <c r="H601" s="238"/>
      <c r="I601" s="238"/>
      <c r="J601" s="239"/>
      <c r="K601" s="84"/>
    </row>
    <row r="602" spans="1:11" ht="13.5" thickBot="1">
      <c r="A602" s="303"/>
      <c r="B602" s="303"/>
      <c r="C602" s="303"/>
      <c r="D602" s="304"/>
      <c r="E602" s="304"/>
      <c r="F602" s="304"/>
      <c r="G602" s="304"/>
      <c r="H602" s="304"/>
      <c r="I602" s="304"/>
      <c r="J602" s="305"/>
      <c r="K602" s="87" t="s">
        <v>173</v>
      </c>
    </row>
    <row r="603" spans="1:11" ht="34.5" thickBot="1">
      <c r="A603" s="296" t="s">
        <v>0</v>
      </c>
      <c r="B603" s="232" t="s">
        <v>208</v>
      </c>
      <c r="C603" s="296" t="s">
        <v>1</v>
      </c>
      <c r="D603" s="296" t="s">
        <v>2</v>
      </c>
      <c r="E603" s="296" t="s">
        <v>3</v>
      </c>
      <c r="F603" s="297" t="s">
        <v>4</v>
      </c>
      <c r="G603" s="296" t="s">
        <v>133</v>
      </c>
      <c r="H603" s="296" t="s">
        <v>6</v>
      </c>
      <c r="I603" s="298" t="s">
        <v>7</v>
      </c>
      <c r="J603" s="302" t="s">
        <v>175</v>
      </c>
      <c r="K603" s="86" t="s">
        <v>170</v>
      </c>
    </row>
    <row r="604" spans="1:11" ht="12.75">
      <c r="A604" s="237">
        <v>425281</v>
      </c>
      <c r="B604" s="237"/>
      <c r="C604" s="237" t="s">
        <v>61</v>
      </c>
      <c r="D604" s="238">
        <v>3524</v>
      </c>
      <c r="E604" s="238">
        <v>3524</v>
      </c>
      <c r="F604" s="238"/>
      <c r="G604" s="238"/>
      <c r="H604" s="238"/>
      <c r="I604" s="238"/>
      <c r="J604" s="235"/>
      <c r="K604" s="83"/>
    </row>
    <row r="605" spans="1:11" ht="12.75">
      <c r="A605" s="237">
        <v>425291</v>
      </c>
      <c r="B605" s="237"/>
      <c r="C605" s="237" t="s">
        <v>62</v>
      </c>
      <c r="D605" s="238">
        <v>53836.8</v>
      </c>
      <c r="E605" s="238">
        <v>53686.8</v>
      </c>
      <c r="F605" s="238"/>
      <c r="G605" s="238">
        <v>150</v>
      </c>
      <c r="H605" s="238"/>
      <c r="I605" s="238"/>
      <c r="J605" s="239"/>
      <c r="K605" s="84"/>
    </row>
    <row r="606" spans="1:11" ht="12.75">
      <c r="A606" s="240">
        <v>4252</v>
      </c>
      <c r="B606" s="240"/>
      <c r="C606" s="240" t="s">
        <v>113</v>
      </c>
      <c r="D606" s="241">
        <f>D594+D595+D596+D597+D598+D599+D600+D601+D604+D605</f>
        <v>264305.8</v>
      </c>
      <c r="E606" s="241">
        <f>E594+E595+E596+E597+E598+E599+E600+E601+E604+E605</f>
        <v>158117.8</v>
      </c>
      <c r="F606" s="241"/>
      <c r="G606" s="241">
        <f>SUM(G599:G605)</f>
        <v>106188</v>
      </c>
      <c r="H606" s="241"/>
      <c r="I606" s="241"/>
      <c r="J606" s="242">
        <f>J594+J595+J596+J597+J598+J599+J600+J601+J604+J605</f>
        <v>2200000</v>
      </c>
      <c r="K606" s="84"/>
    </row>
    <row r="607" spans="1:11" ht="12.75">
      <c r="A607" s="237">
        <v>426111</v>
      </c>
      <c r="B607" s="237"/>
      <c r="C607" s="237" t="s">
        <v>63</v>
      </c>
      <c r="D607" s="238">
        <v>439441.28</v>
      </c>
      <c r="E607" s="238"/>
      <c r="F607" s="238">
        <v>439441.28</v>
      </c>
      <c r="G607" s="238"/>
      <c r="H607" s="238"/>
      <c r="I607" s="238"/>
      <c r="J607" s="239"/>
      <c r="K607" s="84"/>
    </row>
    <row r="608" spans="1:11" ht="12.75">
      <c r="A608" s="237">
        <v>426121</v>
      </c>
      <c r="B608" s="237"/>
      <c r="C608" s="237" t="s">
        <v>132</v>
      </c>
      <c r="D608" s="238">
        <v>8484.2</v>
      </c>
      <c r="E608" s="238">
        <v>8484.2</v>
      </c>
      <c r="F608" s="238"/>
      <c r="G608" s="238"/>
      <c r="H608" s="238"/>
      <c r="I608" s="238"/>
      <c r="J608" s="239"/>
      <c r="K608" s="84"/>
    </row>
    <row r="609" spans="1:11" ht="12.75">
      <c r="A609" s="237">
        <v>426129</v>
      </c>
      <c r="B609" s="237"/>
      <c r="C609" s="237" t="s">
        <v>64</v>
      </c>
      <c r="D609" s="238">
        <v>5392.6</v>
      </c>
      <c r="E609" s="238">
        <v>5392.6</v>
      </c>
      <c r="F609" s="238"/>
      <c r="G609" s="238"/>
      <c r="H609" s="238"/>
      <c r="I609" s="238"/>
      <c r="J609" s="239"/>
      <c r="K609" s="84"/>
    </row>
    <row r="610" spans="1:11" ht="12.75">
      <c r="A610" s="240">
        <v>4261</v>
      </c>
      <c r="B610" s="240"/>
      <c r="C610" s="240" t="s">
        <v>114</v>
      </c>
      <c r="D610" s="241">
        <f>SUM(D607:D609)</f>
        <v>453318.08</v>
      </c>
      <c r="E610" s="241">
        <f>SUM(E607:E609)</f>
        <v>13876.800000000001</v>
      </c>
      <c r="F610" s="241">
        <f>SUM(F607:F609)</f>
        <v>439441.28</v>
      </c>
      <c r="G610" s="241"/>
      <c r="H610" s="241"/>
      <c r="I610" s="241"/>
      <c r="J610" s="242">
        <v>1150000</v>
      </c>
      <c r="K610" s="84"/>
    </row>
    <row r="611" spans="1:11" ht="12.75">
      <c r="A611" s="237">
        <v>426311</v>
      </c>
      <c r="B611" s="237"/>
      <c r="C611" s="237" t="s">
        <v>65</v>
      </c>
      <c r="D611" s="238">
        <v>77900</v>
      </c>
      <c r="E611" s="238"/>
      <c r="F611" s="238"/>
      <c r="G611" s="238">
        <v>77900</v>
      </c>
      <c r="H611" s="238"/>
      <c r="I611" s="238"/>
      <c r="J611" s="239"/>
      <c r="K611" s="84"/>
    </row>
    <row r="612" spans="1:11" ht="12.75">
      <c r="A612" s="240">
        <v>4263</v>
      </c>
      <c r="B612" s="240"/>
      <c r="C612" s="240" t="s">
        <v>115</v>
      </c>
      <c r="D612" s="241">
        <f>SUM(D611)</f>
        <v>77900</v>
      </c>
      <c r="E612" s="241"/>
      <c r="F612" s="241"/>
      <c r="G612" s="241">
        <f>SUM(G611)</f>
        <v>77900</v>
      </c>
      <c r="H612" s="241"/>
      <c r="I612" s="241"/>
      <c r="J612" s="239"/>
      <c r="K612" s="84"/>
    </row>
    <row r="613" spans="1:11" ht="12.75">
      <c r="A613" s="237">
        <v>426491</v>
      </c>
      <c r="B613" s="237"/>
      <c r="C613" s="237" t="s">
        <v>69</v>
      </c>
      <c r="D613" s="238">
        <v>293820.82</v>
      </c>
      <c r="E613" s="238"/>
      <c r="F613" s="238">
        <v>293820.82</v>
      </c>
      <c r="G613" s="238"/>
      <c r="H613" s="238"/>
      <c r="I613" s="238"/>
      <c r="J613" s="239"/>
      <c r="K613" s="84"/>
    </row>
    <row r="614" spans="1:11" ht="12.75">
      <c r="A614" s="240">
        <v>4264</v>
      </c>
      <c r="B614" s="240"/>
      <c r="C614" s="240" t="s">
        <v>116</v>
      </c>
      <c r="D614" s="241">
        <f>SUM(D613)</f>
        <v>293820.82</v>
      </c>
      <c r="E614" s="241">
        <f>SUM(E613)</f>
        <v>0</v>
      </c>
      <c r="F614" s="241">
        <f>SUM(F613)</f>
        <v>293820.82</v>
      </c>
      <c r="G614" s="241">
        <f>SUM(G613)</f>
        <v>0</v>
      </c>
      <c r="H614" s="241"/>
      <c r="I614" s="241"/>
      <c r="J614" s="241">
        <v>100000</v>
      </c>
      <c r="K614" s="37"/>
    </row>
    <row r="615" spans="1:11" ht="12.75">
      <c r="A615" s="237">
        <v>426811</v>
      </c>
      <c r="B615" s="237"/>
      <c r="C615" s="237" t="s">
        <v>76</v>
      </c>
      <c r="D615" s="238">
        <v>60097.97</v>
      </c>
      <c r="E615" s="238">
        <v>60097.97</v>
      </c>
      <c r="F615" s="238"/>
      <c r="G615" s="238"/>
      <c r="H615" s="238"/>
      <c r="I615" s="238"/>
      <c r="J615" s="239"/>
      <c r="K615" s="84"/>
    </row>
    <row r="616" spans="1:11" ht="12.75">
      <c r="A616" s="237">
        <v>426812</v>
      </c>
      <c r="B616" s="237"/>
      <c r="C616" s="237" t="s">
        <v>77</v>
      </c>
      <c r="D616" s="238">
        <v>16461</v>
      </c>
      <c r="E616" s="238">
        <v>16461</v>
      </c>
      <c r="F616" s="238"/>
      <c r="G616" s="238"/>
      <c r="H616" s="238"/>
      <c r="I616" s="238"/>
      <c r="J616" s="239"/>
      <c r="K616" s="84"/>
    </row>
    <row r="617" spans="1:11" ht="12.75">
      <c r="A617" s="237">
        <v>426819</v>
      </c>
      <c r="B617" s="237"/>
      <c r="C617" s="237" t="s">
        <v>78</v>
      </c>
      <c r="D617" s="238">
        <v>0</v>
      </c>
      <c r="E617" s="238"/>
      <c r="F617" s="238"/>
      <c r="G617" s="238"/>
      <c r="H617" s="238"/>
      <c r="I617" s="238"/>
      <c r="J617" s="239"/>
      <c r="K617" s="84"/>
    </row>
    <row r="618" spans="1:11" ht="12.75">
      <c r="A618" s="240">
        <v>4268</v>
      </c>
      <c r="B618" s="240"/>
      <c r="C618" s="240" t="s">
        <v>118</v>
      </c>
      <c r="D618" s="241">
        <f>SUM(D615:D617)</f>
        <v>76558.97</v>
      </c>
      <c r="E618" s="241">
        <f>SUM(E615:E617)</f>
        <v>76558.97</v>
      </c>
      <c r="F618" s="241"/>
      <c r="G618" s="241"/>
      <c r="H618" s="241"/>
      <c r="I618" s="241"/>
      <c r="J618" s="242">
        <v>300000</v>
      </c>
      <c r="K618" s="84"/>
    </row>
    <row r="619" spans="1:11" ht="12.75">
      <c r="A619" s="237">
        <v>426911</v>
      </c>
      <c r="B619" s="237"/>
      <c r="C619" s="237" t="s">
        <v>79</v>
      </c>
      <c r="D619" s="238">
        <v>2637</v>
      </c>
      <c r="E619" s="238">
        <v>1358</v>
      </c>
      <c r="F619" s="238"/>
      <c r="G619" s="238">
        <v>1279</v>
      </c>
      <c r="H619" s="238"/>
      <c r="I619" s="238"/>
      <c r="J619" s="239"/>
      <c r="K619" s="84"/>
    </row>
    <row r="620" spans="1:11" ht="12.75">
      <c r="A620" s="237">
        <v>426913</v>
      </c>
      <c r="B620" s="237"/>
      <c r="C620" s="237" t="s">
        <v>80</v>
      </c>
      <c r="D620" s="238">
        <v>84536</v>
      </c>
      <c r="E620" s="238">
        <v>83536</v>
      </c>
      <c r="F620" s="238"/>
      <c r="G620" s="238">
        <v>1000</v>
      </c>
      <c r="H620" s="238"/>
      <c r="I620" s="238"/>
      <c r="J620" s="239"/>
      <c r="K620" s="84"/>
    </row>
    <row r="621" spans="1:11" ht="12.75">
      <c r="A621" s="237">
        <v>426919</v>
      </c>
      <c r="B621" s="237"/>
      <c r="C621" s="237" t="s">
        <v>186</v>
      </c>
      <c r="D621" s="238">
        <v>16583.72</v>
      </c>
      <c r="E621" s="238">
        <v>16583.72</v>
      </c>
      <c r="F621" s="238"/>
      <c r="G621" s="238"/>
      <c r="H621" s="238"/>
      <c r="I621" s="238"/>
      <c r="J621" s="239">
        <v>1530000</v>
      </c>
      <c r="K621" s="84"/>
    </row>
    <row r="622" spans="1:11" ht="12.75">
      <c r="A622" s="240">
        <v>4269</v>
      </c>
      <c r="B622" s="240"/>
      <c r="C622" s="240" t="s">
        <v>119</v>
      </c>
      <c r="D622" s="241">
        <f>SUM(D619:D621)</f>
        <v>103756.72</v>
      </c>
      <c r="E622" s="241">
        <f>SUM(E619:E621)</f>
        <v>101477.72</v>
      </c>
      <c r="F622" s="241"/>
      <c r="G622" s="241">
        <f>SUM(G619:G621)</f>
        <v>2279</v>
      </c>
      <c r="H622" s="241"/>
      <c r="I622" s="241"/>
      <c r="J622" s="242">
        <f>SUM(J619:J621)</f>
        <v>1530000</v>
      </c>
      <c r="K622" s="84"/>
    </row>
    <row r="623" spans="1:11" ht="12.75">
      <c r="A623" s="237">
        <v>431111</v>
      </c>
      <c r="B623" s="237"/>
      <c r="C623" s="237" t="s">
        <v>82</v>
      </c>
      <c r="D623" s="238"/>
      <c r="E623" s="238"/>
      <c r="F623" s="238"/>
      <c r="G623" s="238"/>
      <c r="H623" s="238"/>
      <c r="I623" s="238"/>
      <c r="J623" s="239"/>
      <c r="K623" s="84"/>
    </row>
    <row r="624" spans="1:11" ht="12.75">
      <c r="A624" s="240">
        <v>4311</v>
      </c>
      <c r="B624" s="240"/>
      <c r="C624" s="240" t="s">
        <v>83</v>
      </c>
      <c r="D624" s="241"/>
      <c r="E624" s="241"/>
      <c r="F624" s="241"/>
      <c r="G624" s="241"/>
      <c r="H624" s="241"/>
      <c r="I624" s="241"/>
      <c r="J624" s="239"/>
      <c r="K624" s="84"/>
    </row>
    <row r="625" spans="1:11" ht="12.75">
      <c r="A625" s="237">
        <v>431211</v>
      </c>
      <c r="B625" s="237"/>
      <c r="C625" s="237" t="s">
        <v>84</v>
      </c>
      <c r="D625" s="238"/>
      <c r="E625" s="238"/>
      <c r="F625" s="238"/>
      <c r="G625" s="238"/>
      <c r="H625" s="238"/>
      <c r="I625" s="238"/>
      <c r="J625" s="239"/>
      <c r="K625" s="84"/>
    </row>
    <row r="626" spans="1:11" ht="12.75">
      <c r="A626" s="240">
        <v>4312</v>
      </c>
      <c r="B626" s="240"/>
      <c r="C626" s="240" t="s">
        <v>84</v>
      </c>
      <c r="D626" s="241"/>
      <c r="E626" s="241"/>
      <c r="F626" s="241"/>
      <c r="G626" s="241"/>
      <c r="H626" s="241"/>
      <c r="I626" s="241"/>
      <c r="J626" s="239"/>
      <c r="K626" s="84"/>
    </row>
    <row r="627" spans="1:11" ht="12.75">
      <c r="A627" s="237">
        <v>444211</v>
      </c>
      <c r="B627" s="237"/>
      <c r="C627" s="237" t="s">
        <v>85</v>
      </c>
      <c r="D627" s="238">
        <v>5347.14</v>
      </c>
      <c r="E627" s="238"/>
      <c r="F627" s="238"/>
      <c r="G627" s="238">
        <v>4986.97</v>
      </c>
      <c r="H627" s="238">
        <v>360.17</v>
      </c>
      <c r="I627" s="238"/>
      <c r="J627" s="239"/>
      <c r="K627" s="84"/>
    </row>
    <row r="628" spans="1:11" ht="12.75">
      <c r="A628" s="240">
        <v>4442</v>
      </c>
      <c r="B628" s="240"/>
      <c r="C628" s="240" t="s">
        <v>85</v>
      </c>
      <c r="D628" s="241">
        <f>SUM(D627)</f>
        <v>5347.14</v>
      </c>
      <c r="E628" s="241"/>
      <c r="F628" s="241"/>
      <c r="G628" s="241">
        <f>SUM(G627)</f>
        <v>4986.97</v>
      </c>
      <c r="H628" s="241">
        <f>SUM(H627)</f>
        <v>360.17</v>
      </c>
      <c r="I628" s="241"/>
      <c r="J628" s="239"/>
      <c r="K628" s="84"/>
    </row>
    <row r="629" spans="1:11" ht="12.75">
      <c r="A629" s="237">
        <v>482131</v>
      </c>
      <c r="B629" s="237"/>
      <c r="C629" s="237" t="s">
        <v>86</v>
      </c>
      <c r="D629" s="238">
        <v>3142.5</v>
      </c>
      <c r="E629" s="238">
        <v>3142.5</v>
      </c>
      <c r="F629" s="238"/>
      <c r="G629" s="238"/>
      <c r="H629" s="238"/>
      <c r="I629" s="238"/>
      <c r="J629" s="239"/>
      <c r="K629" s="84"/>
    </row>
    <row r="630" spans="1:11" ht="12.75">
      <c r="A630" s="240">
        <v>4821</v>
      </c>
      <c r="B630" s="240"/>
      <c r="C630" s="240" t="s">
        <v>87</v>
      </c>
      <c r="D630" s="241">
        <f>SUM(D629)</f>
        <v>3142.5</v>
      </c>
      <c r="E630" s="241">
        <f>SUM(E629)</f>
        <v>3142.5</v>
      </c>
      <c r="F630" s="241"/>
      <c r="G630" s="241"/>
      <c r="H630" s="241"/>
      <c r="I630" s="241"/>
      <c r="J630" s="239"/>
      <c r="K630" s="84"/>
    </row>
    <row r="631" spans="1:11" ht="12.75">
      <c r="A631" s="237">
        <v>482211</v>
      </c>
      <c r="B631" s="237"/>
      <c r="C631" s="237" t="s">
        <v>88</v>
      </c>
      <c r="D631" s="238">
        <v>0</v>
      </c>
      <c r="E631" s="238"/>
      <c r="F631" s="238"/>
      <c r="G631" s="238"/>
      <c r="H631" s="238"/>
      <c r="I631" s="238"/>
      <c r="J631" s="239"/>
      <c r="K631" s="84"/>
    </row>
    <row r="632" spans="1:11" ht="12.75">
      <c r="A632" s="234">
        <v>482241</v>
      </c>
      <c r="B632" s="234"/>
      <c r="C632" s="234" t="s">
        <v>91</v>
      </c>
      <c r="D632" s="236">
        <v>43549</v>
      </c>
      <c r="E632" s="236">
        <v>40399</v>
      </c>
      <c r="F632" s="236"/>
      <c r="G632" s="236"/>
      <c r="H632" s="236">
        <v>3150</v>
      </c>
      <c r="I632" s="236"/>
      <c r="J632" s="239"/>
      <c r="K632" s="84"/>
    </row>
    <row r="633" spans="1:11" ht="12.75">
      <c r="A633" s="237">
        <v>482251</v>
      </c>
      <c r="B633" s="237"/>
      <c r="C633" s="237" t="s">
        <v>89</v>
      </c>
      <c r="D633" s="238">
        <v>96783</v>
      </c>
      <c r="E633" s="238">
        <v>6070</v>
      </c>
      <c r="F633" s="238"/>
      <c r="G633" s="238">
        <v>90713</v>
      </c>
      <c r="H633" s="238"/>
      <c r="I633" s="238"/>
      <c r="J633" s="239"/>
      <c r="K633" s="84"/>
    </row>
    <row r="634" spans="1:11" ht="12.75">
      <c r="A634" s="240">
        <v>4822</v>
      </c>
      <c r="B634" s="240"/>
      <c r="C634" s="240" t="s">
        <v>90</v>
      </c>
      <c r="D634" s="241">
        <f>SUM(D631:D633)</f>
        <v>140332</v>
      </c>
      <c r="E634" s="241">
        <f>SUM(E631:E633)</f>
        <v>46469</v>
      </c>
      <c r="F634" s="241"/>
      <c r="G634" s="241">
        <f>SUM(G631:G633)</f>
        <v>90713</v>
      </c>
      <c r="H634" s="241">
        <f>SUM(H631:H633)</f>
        <v>3150</v>
      </c>
      <c r="I634" s="241"/>
      <c r="J634" s="305"/>
      <c r="K634" s="87"/>
    </row>
    <row r="635" spans="1:11" ht="12.75">
      <c r="A635" s="240"/>
      <c r="B635" s="240"/>
      <c r="C635" s="240" t="s">
        <v>187</v>
      </c>
      <c r="D635" s="241"/>
      <c r="E635" s="241"/>
      <c r="F635" s="241"/>
      <c r="G635" s="241"/>
      <c r="H635" s="241"/>
      <c r="I635" s="241"/>
      <c r="J635" s="306">
        <v>2200000</v>
      </c>
      <c r="K635" s="87"/>
    </row>
    <row r="636" spans="1:11" ht="12.75">
      <c r="A636" s="240"/>
      <c r="B636" s="240"/>
      <c r="C636" s="240" t="s">
        <v>180</v>
      </c>
      <c r="D636" s="241">
        <f aca="true" t="shared" si="12" ref="D636:I636">D637+D638+D639+D640+D641</f>
        <v>2138892.28</v>
      </c>
      <c r="E636" s="241">
        <f t="shared" si="12"/>
        <v>2094060.63</v>
      </c>
      <c r="F636" s="241">
        <f t="shared" si="12"/>
        <v>0</v>
      </c>
      <c r="G636" s="241">
        <f t="shared" si="12"/>
        <v>700</v>
      </c>
      <c r="H636" s="241">
        <f t="shared" si="12"/>
        <v>44131.65</v>
      </c>
      <c r="I636" s="241">
        <f t="shared" si="12"/>
        <v>0</v>
      </c>
      <c r="J636" s="241">
        <v>14025000</v>
      </c>
      <c r="K636" s="98"/>
    </row>
    <row r="637" spans="1:11" ht="12.75">
      <c r="A637" s="237">
        <v>421211</v>
      </c>
      <c r="B637" s="237"/>
      <c r="C637" s="237" t="s">
        <v>23</v>
      </c>
      <c r="D637" s="238">
        <v>668574.08</v>
      </c>
      <c r="E637" s="238">
        <v>624442.43</v>
      </c>
      <c r="F637" s="238"/>
      <c r="G637" s="238"/>
      <c r="H637" s="238">
        <v>44131.65</v>
      </c>
      <c r="I637" s="238"/>
      <c r="J637" s="239">
        <v>3000000</v>
      </c>
      <c r="K637" s="106">
        <f>D637*100/J637</f>
        <v>22.285802666666665</v>
      </c>
    </row>
    <row r="638" spans="1:11" ht="12.75">
      <c r="A638" s="237">
        <v>421225</v>
      </c>
      <c r="B638" s="237"/>
      <c r="C638" s="237" t="s">
        <v>24</v>
      </c>
      <c r="D638" s="238">
        <v>41318.2</v>
      </c>
      <c r="E638" s="238">
        <v>41318.2</v>
      </c>
      <c r="F638" s="238"/>
      <c r="G638" s="238"/>
      <c r="H638" s="238"/>
      <c r="I638" s="238"/>
      <c r="J638" s="239">
        <v>4000000</v>
      </c>
      <c r="K638" s="106">
        <f>D638*100/J638</f>
        <v>1.0329549999999998</v>
      </c>
    </row>
    <row r="639" spans="1:11" ht="12.75">
      <c r="A639" s="237">
        <v>426411</v>
      </c>
      <c r="B639" s="237"/>
      <c r="C639" s="237" t="s">
        <v>66</v>
      </c>
      <c r="D639" s="238">
        <v>1229000</v>
      </c>
      <c r="E639" s="238">
        <v>1228300</v>
      </c>
      <c r="F639" s="238"/>
      <c r="G639" s="238">
        <v>700</v>
      </c>
      <c r="H639" s="238"/>
      <c r="I639" s="238"/>
      <c r="J639" s="239"/>
      <c r="K639" s="101"/>
    </row>
    <row r="640" spans="1:11" ht="12.75">
      <c r="A640" s="237">
        <v>426412</v>
      </c>
      <c r="B640" s="237"/>
      <c r="C640" s="237" t="s">
        <v>67</v>
      </c>
      <c r="D640" s="238">
        <v>200000</v>
      </c>
      <c r="E640" s="238">
        <v>200000</v>
      </c>
      <c r="F640" s="238"/>
      <c r="G640" s="238"/>
      <c r="H640" s="238"/>
      <c r="I640" s="238"/>
      <c r="J640" s="239"/>
      <c r="K640" s="101"/>
    </row>
    <row r="641" spans="1:11" ht="12.75">
      <c r="A641" s="237">
        <v>426413</v>
      </c>
      <c r="B641" s="237"/>
      <c r="C641" s="237" t="s">
        <v>68</v>
      </c>
      <c r="D641" s="238"/>
      <c r="E641" s="238"/>
      <c r="F641" s="238"/>
      <c r="G641" s="238"/>
      <c r="H641" s="238"/>
      <c r="I641" s="238"/>
      <c r="J641" s="239"/>
      <c r="K641" s="101"/>
    </row>
    <row r="642" spans="1:11" ht="12.75">
      <c r="A642" s="257"/>
      <c r="B642" s="257"/>
      <c r="C642" s="257" t="s">
        <v>181</v>
      </c>
      <c r="D642" s="238"/>
      <c r="E642" s="238"/>
      <c r="F642" s="238"/>
      <c r="G642" s="238"/>
      <c r="H642" s="238"/>
      <c r="I642" s="238"/>
      <c r="J642" s="239"/>
      <c r="K642" s="101"/>
    </row>
    <row r="643" spans="1:11" ht="12.75">
      <c r="A643" s="257"/>
      <c r="B643" s="257"/>
      <c r="C643" s="257" t="s">
        <v>182</v>
      </c>
      <c r="D643" s="238">
        <f>D644+D645+D646+D647</f>
        <v>1549073.47</v>
      </c>
      <c r="E643" s="238">
        <f>E644+E645+E646+E647</f>
        <v>1355641.14</v>
      </c>
      <c r="F643" s="238">
        <f>F644+F645+F646+F647</f>
        <v>0</v>
      </c>
      <c r="G643" s="238">
        <f>G644+G645+G646+G647</f>
        <v>193432.33000000002</v>
      </c>
      <c r="H643" s="238">
        <f>H644+H645+H646+H647</f>
        <v>0</v>
      </c>
      <c r="I643" s="238"/>
      <c r="J643" s="239">
        <v>11156000</v>
      </c>
      <c r="K643" s="93"/>
    </row>
    <row r="644" spans="1:11" ht="12.75">
      <c r="A644" s="237">
        <v>4267111</v>
      </c>
      <c r="B644" s="237"/>
      <c r="C644" s="237" t="s">
        <v>70</v>
      </c>
      <c r="D644" s="238">
        <v>140007</v>
      </c>
      <c r="E644" s="238">
        <v>140007</v>
      </c>
      <c r="F644" s="238"/>
      <c r="G644" s="238"/>
      <c r="H644" s="238"/>
      <c r="I644" s="238"/>
      <c r="J644" s="239"/>
      <c r="K644" s="101"/>
    </row>
    <row r="645" spans="1:11" ht="12.75">
      <c r="A645" s="237">
        <v>4267112</v>
      </c>
      <c r="B645" s="237"/>
      <c r="C645" s="237" t="s">
        <v>71</v>
      </c>
      <c r="D645" s="238">
        <v>436301.89</v>
      </c>
      <c r="E645" s="238">
        <v>383439.07</v>
      </c>
      <c r="F645" s="238"/>
      <c r="G645" s="238">
        <v>52862.82</v>
      </c>
      <c r="H645" s="238"/>
      <c r="I645" s="238"/>
      <c r="J645" s="239"/>
      <c r="K645" s="101"/>
    </row>
    <row r="646" spans="1:11" ht="12.75">
      <c r="A646" s="237">
        <v>4267113</v>
      </c>
      <c r="B646" s="237"/>
      <c r="C646" s="237" t="s">
        <v>72</v>
      </c>
      <c r="D646" s="238">
        <v>140569.51</v>
      </c>
      <c r="E646" s="238"/>
      <c r="F646" s="238"/>
      <c r="G646" s="238">
        <v>140569.51</v>
      </c>
      <c r="H646" s="238"/>
      <c r="I646" s="238"/>
      <c r="J646" s="239"/>
      <c r="K646" s="101"/>
    </row>
    <row r="647" spans="1:11" ht="12.75">
      <c r="A647" s="237">
        <v>426721</v>
      </c>
      <c r="B647" s="237"/>
      <c r="C647" s="237" t="s">
        <v>73</v>
      </c>
      <c r="D647" s="238">
        <v>832195.07</v>
      </c>
      <c r="E647" s="238">
        <v>832195.07</v>
      </c>
      <c r="F647" s="238"/>
      <c r="G647" s="238"/>
      <c r="H647" s="238"/>
      <c r="I647" s="238"/>
      <c r="J647" s="239"/>
      <c r="K647" s="101"/>
    </row>
    <row r="648" spans="1:11" ht="12.75">
      <c r="A648" s="237"/>
      <c r="B648" s="237"/>
      <c r="C648" s="257" t="s">
        <v>183</v>
      </c>
      <c r="D648" s="238">
        <f>D649+D650</f>
        <v>1520929.8900000001</v>
      </c>
      <c r="E648" s="238">
        <f>E649+E650</f>
        <v>1520929.8900000001</v>
      </c>
      <c r="F648" s="238">
        <f>F649+F650</f>
        <v>0</v>
      </c>
      <c r="G648" s="238">
        <f>G649+G650</f>
        <v>0</v>
      </c>
      <c r="H648" s="238"/>
      <c r="I648" s="238"/>
      <c r="J648" s="239">
        <v>14155000</v>
      </c>
      <c r="K648" s="105"/>
    </row>
    <row r="649" spans="1:11" ht="12.75">
      <c r="A649" s="237">
        <v>4267510</v>
      </c>
      <c r="B649" s="237"/>
      <c r="C649" s="237" t="s">
        <v>75</v>
      </c>
      <c r="D649" s="238">
        <v>1143661.06</v>
      </c>
      <c r="E649" s="238">
        <v>1143661.06</v>
      </c>
      <c r="F649" s="238"/>
      <c r="G649" s="238"/>
      <c r="H649" s="238"/>
      <c r="I649" s="238"/>
      <c r="J649" s="239"/>
      <c r="K649" s="101"/>
    </row>
    <row r="650" spans="1:11" ht="13.5" thickBot="1">
      <c r="A650" s="237">
        <v>4267511</v>
      </c>
      <c r="B650" s="237"/>
      <c r="C650" s="237" t="s">
        <v>74</v>
      </c>
      <c r="D650" s="238">
        <v>377268.83</v>
      </c>
      <c r="E650" s="238">
        <v>377268.83</v>
      </c>
      <c r="F650" s="238"/>
      <c r="G650" s="238"/>
      <c r="H650" s="238"/>
      <c r="I650" s="238"/>
      <c r="J650" s="239"/>
      <c r="K650" s="101"/>
    </row>
    <row r="651" spans="1:11" ht="13.5" thickBot="1">
      <c r="A651" s="237"/>
      <c r="B651" s="247"/>
      <c r="C651" s="307" t="s">
        <v>134</v>
      </c>
      <c r="D651" s="308">
        <f aca="true" t="shared" si="13" ref="D651:I651">D648+D643+D636+D542+D537+D534+D541</f>
        <v>105970369.99000001</v>
      </c>
      <c r="E651" s="308">
        <f t="shared" si="13"/>
        <v>97678691.37</v>
      </c>
      <c r="F651" s="308">
        <f t="shared" si="13"/>
        <v>1633750.0000000002</v>
      </c>
      <c r="G651" s="308">
        <f t="shared" si="13"/>
        <v>4973233.119999999</v>
      </c>
      <c r="H651" s="308">
        <f t="shared" si="13"/>
        <v>244901.87000000002</v>
      </c>
      <c r="I651" s="308">
        <f t="shared" si="13"/>
        <v>1439793.63</v>
      </c>
      <c r="J651" s="308">
        <f>J648+J643+J636+J542+J537+J534</f>
        <v>279136725</v>
      </c>
      <c r="K651" s="48">
        <f>D651*100/J651</f>
        <v>37.96360725733957</v>
      </c>
    </row>
    <row r="652" spans="1:11" ht="12.75">
      <c r="A652" s="247"/>
      <c r="B652" s="247"/>
      <c r="C652" s="244" t="s">
        <v>184</v>
      </c>
      <c r="D652" s="245">
        <v>105970369.99</v>
      </c>
      <c r="E652" s="245">
        <v>97678691.37</v>
      </c>
      <c r="F652" s="245">
        <v>1633750</v>
      </c>
      <c r="G652" s="245">
        <v>4973233.12</v>
      </c>
      <c r="H652" s="245">
        <v>244901.87</v>
      </c>
      <c r="I652" s="245">
        <v>1439793.63</v>
      </c>
      <c r="J652" s="246"/>
      <c r="K652" s="92"/>
    </row>
    <row r="653" spans="1:11" ht="12.75">
      <c r="A653" s="247"/>
      <c r="B653" s="247"/>
      <c r="C653" s="244" t="s">
        <v>185</v>
      </c>
      <c r="D653" s="245">
        <f aca="true" t="shared" si="14" ref="D653:I653">D651-D652</f>
        <v>0</v>
      </c>
      <c r="E653" s="245">
        <f t="shared" si="14"/>
        <v>0</v>
      </c>
      <c r="F653" s="245">
        <f t="shared" si="14"/>
        <v>0</v>
      </c>
      <c r="G653" s="245">
        <f t="shared" si="14"/>
        <v>0</v>
      </c>
      <c r="H653" s="245">
        <f t="shared" si="14"/>
        <v>0</v>
      </c>
      <c r="I653" s="245">
        <f t="shared" si="14"/>
        <v>0</v>
      </c>
      <c r="J653" s="245"/>
      <c r="K653" s="92"/>
    </row>
    <row r="654" spans="1:11" ht="12.75">
      <c r="A654" s="247"/>
      <c r="B654" s="247"/>
      <c r="C654" s="244"/>
      <c r="D654" s="245"/>
      <c r="E654" s="245"/>
      <c r="F654" s="245"/>
      <c r="G654" s="245"/>
      <c r="H654" s="245"/>
      <c r="I654" s="245"/>
      <c r="J654" s="246"/>
      <c r="K654" s="92"/>
    </row>
    <row r="655" spans="1:11" ht="12.75">
      <c r="A655" s="247"/>
      <c r="B655" s="247"/>
      <c r="C655" s="247"/>
      <c r="D655" s="229" t="s">
        <v>136</v>
      </c>
      <c r="E655" s="229"/>
      <c r="F655" s="229"/>
      <c r="G655" s="229"/>
      <c r="H655" s="255"/>
      <c r="I655" s="255"/>
      <c r="J655" s="273"/>
      <c r="K655" s="85"/>
    </row>
    <row r="656" spans="1:11" ht="13.5" thickBot="1">
      <c r="A656" s="247"/>
      <c r="B656" s="247"/>
      <c r="C656" s="247"/>
      <c r="D656" s="255"/>
      <c r="E656" s="255"/>
      <c r="F656" s="255"/>
      <c r="G656" s="255"/>
      <c r="H656" s="255"/>
      <c r="I656" s="255"/>
      <c r="J656" s="273"/>
      <c r="K656" s="85" t="s">
        <v>173</v>
      </c>
    </row>
    <row r="657" spans="1:11" ht="34.5" thickBot="1">
      <c r="A657" s="299" t="s">
        <v>0</v>
      </c>
      <c r="B657" s="232" t="s">
        <v>208</v>
      </c>
      <c r="C657" s="296" t="s">
        <v>1</v>
      </c>
      <c r="D657" s="296" t="s">
        <v>2</v>
      </c>
      <c r="E657" s="296" t="s">
        <v>3</v>
      </c>
      <c r="F657" s="297" t="s">
        <v>4</v>
      </c>
      <c r="G657" s="298" t="s">
        <v>5</v>
      </c>
      <c r="H657" s="309" t="s">
        <v>6</v>
      </c>
      <c r="I657" s="299" t="s">
        <v>7</v>
      </c>
      <c r="J657" s="302" t="s">
        <v>175</v>
      </c>
      <c r="K657" s="86" t="s">
        <v>170</v>
      </c>
    </row>
    <row r="658" spans="1:11" ht="12.75">
      <c r="A658" s="292">
        <v>512111</v>
      </c>
      <c r="B658" s="292"/>
      <c r="C658" s="293" t="s">
        <v>124</v>
      </c>
      <c r="D658" s="310">
        <v>1376602.5</v>
      </c>
      <c r="E658" s="269"/>
      <c r="F658" s="241"/>
      <c r="G658" s="286">
        <v>1376602.5</v>
      </c>
      <c r="H658" s="311"/>
      <c r="I658" s="264"/>
      <c r="J658" s="235"/>
      <c r="K658" s="83"/>
    </row>
    <row r="659" spans="1:11" ht="12.75">
      <c r="A659" s="266">
        <v>5121</v>
      </c>
      <c r="B659" s="266"/>
      <c r="C659" s="267" t="s">
        <v>125</v>
      </c>
      <c r="D659" s="268">
        <f>SUM(D658)</f>
        <v>1376602.5</v>
      </c>
      <c r="E659" s="269"/>
      <c r="F659" s="241"/>
      <c r="G659" s="287">
        <f>SUM(G658)</f>
        <v>1376602.5</v>
      </c>
      <c r="H659" s="312"/>
      <c r="I659" s="269"/>
      <c r="J659" s="239"/>
      <c r="K659" s="84"/>
    </row>
    <row r="660" spans="1:11" ht="12.75">
      <c r="A660" s="237">
        <v>512211</v>
      </c>
      <c r="B660" s="237"/>
      <c r="C660" s="237" t="s">
        <v>120</v>
      </c>
      <c r="D660" s="238">
        <v>15930</v>
      </c>
      <c r="E660" s="238"/>
      <c r="F660" s="238"/>
      <c r="G660" s="286">
        <v>15930</v>
      </c>
      <c r="H660" s="286"/>
      <c r="I660" s="238"/>
      <c r="J660" s="239"/>
      <c r="K660" s="84"/>
    </row>
    <row r="661" spans="1:11" ht="12.75">
      <c r="A661" s="237">
        <v>512221</v>
      </c>
      <c r="B661" s="237"/>
      <c r="C661" s="237" t="s">
        <v>56</v>
      </c>
      <c r="D661" s="238">
        <v>0</v>
      </c>
      <c r="E661" s="238"/>
      <c r="F661" s="238"/>
      <c r="G661" s="286"/>
      <c r="H661" s="286"/>
      <c r="I661" s="238"/>
      <c r="J661" s="239"/>
      <c r="K661" s="84"/>
    </row>
    <row r="662" spans="1:11" ht="12.75">
      <c r="A662" s="252">
        <v>512222</v>
      </c>
      <c r="B662" s="252"/>
      <c r="C662" s="252" t="s">
        <v>121</v>
      </c>
      <c r="D662" s="253">
        <v>0</v>
      </c>
      <c r="E662" s="253"/>
      <c r="F662" s="253"/>
      <c r="G662" s="291"/>
      <c r="H662" s="286"/>
      <c r="I662" s="238"/>
      <c r="J662" s="239"/>
      <c r="K662" s="84"/>
    </row>
    <row r="663" spans="1:11" ht="12.75">
      <c r="A663" s="237">
        <v>512251</v>
      </c>
      <c r="B663" s="237"/>
      <c r="C663" s="237" t="s">
        <v>122</v>
      </c>
      <c r="D663" s="238">
        <v>0</v>
      </c>
      <c r="E663" s="238"/>
      <c r="F663" s="238"/>
      <c r="G663" s="286"/>
      <c r="H663" s="286"/>
      <c r="I663" s="238"/>
      <c r="J663" s="239"/>
      <c r="K663" s="84"/>
    </row>
    <row r="664" spans="1:11" ht="12.75">
      <c r="A664" s="240">
        <v>5122</v>
      </c>
      <c r="B664" s="240"/>
      <c r="C664" s="240" t="s">
        <v>123</v>
      </c>
      <c r="D664" s="241">
        <f>SUM(D660:D663)</f>
        <v>15930</v>
      </c>
      <c r="E664" s="241"/>
      <c r="F664" s="241"/>
      <c r="G664" s="287">
        <f>SUM(G660:G663)</f>
        <v>15930</v>
      </c>
      <c r="H664" s="287"/>
      <c r="I664" s="241"/>
      <c r="J664" s="239"/>
      <c r="K664" s="84"/>
    </row>
    <row r="665" spans="1:11" ht="12.75">
      <c r="A665" s="234">
        <v>512511</v>
      </c>
      <c r="B665" s="234"/>
      <c r="C665" s="234" t="s">
        <v>126</v>
      </c>
      <c r="D665" s="236"/>
      <c r="E665" s="236"/>
      <c r="F665" s="236"/>
      <c r="G665" s="290"/>
      <c r="H665" s="286"/>
      <c r="I665" s="238"/>
      <c r="J665" s="239"/>
      <c r="K665" s="84"/>
    </row>
    <row r="666" spans="1:11" ht="12.75">
      <c r="A666" s="237">
        <v>512521</v>
      </c>
      <c r="B666" s="237"/>
      <c r="C666" s="237" t="s">
        <v>127</v>
      </c>
      <c r="D666" s="238"/>
      <c r="E666" s="238"/>
      <c r="F666" s="238"/>
      <c r="G666" s="286"/>
      <c r="H666" s="286"/>
      <c r="I666" s="238"/>
      <c r="J666" s="239"/>
      <c r="K666" s="84"/>
    </row>
    <row r="667" spans="1:11" ht="13.5" thickBot="1">
      <c r="A667" s="240">
        <v>5125</v>
      </c>
      <c r="B667" s="300"/>
      <c r="C667" s="300" t="s">
        <v>128</v>
      </c>
      <c r="D667" s="301"/>
      <c r="E667" s="301"/>
      <c r="F667" s="301"/>
      <c r="G667" s="313"/>
      <c r="H667" s="313"/>
      <c r="I667" s="301"/>
      <c r="J667" s="305"/>
      <c r="K667" s="87"/>
    </row>
    <row r="668" spans="1:11" ht="13.5" thickBot="1">
      <c r="A668" s="244"/>
      <c r="B668" s="244"/>
      <c r="C668" s="307" t="s">
        <v>135</v>
      </c>
      <c r="D668" s="308">
        <f>SUM(D664,D659)</f>
        <v>1392532.5</v>
      </c>
      <c r="E668" s="314"/>
      <c r="F668" s="315"/>
      <c r="G668" s="316">
        <f>G664+G659</f>
        <v>1392532.5</v>
      </c>
      <c r="H668" s="317"/>
      <c r="I668" s="318"/>
      <c r="J668" s="319"/>
      <c r="K668" s="88"/>
    </row>
    <row r="669" spans="1:11" ht="13.5" thickBot="1">
      <c r="A669" s="237"/>
      <c r="B669" s="320"/>
      <c r="C669" s="320"/>
      <c r="D669" s="321"/>
      <c r="E669" s="321"/>
      <c r="F669" s="321"/>
      <c r="G669" s="321"/>
      <c r="H669" s="321"/>
      <c r="I669" s="255"/>
      <c r="J669" s="322"/>
      <c r="K669" s="89"/>
    </row>
    <row r="670" spans="1:11" ht="13.5" thickBot="1">
      <c r="A670" s="323"/>
      <c r="B670" s="247"/>
      <c r="C670" s="324" t="s">
        <v>167</v>
      </c>
      <c r="D670" s="318">
        <f aca="true" t="shared" si="15" ref="D670:I670">D651+D668</f>
        <v>107362902.49000001</v>
      </c>
      <c r="E670" s="318">
        <f t="shared" si="15"/>
        <v>97678691.37</v>
      </c>
      <c r="F670" s="318">
        <f t="shared" si="15"/>
        <v>1633750.0000000002</v>
      </c>
      <c r="G670" s="318">
        <f t="shared" si="15"/>
        <v>6365765.619999999</v>
      </c>
      <c r="H670" s="318">
        <f t="shared" si="15"/>
        <v>244901.87000000002</v>
      </c>
      <c r="I670" s="318">
        <f t="shared" si="15"/>
        <v>1439793.63</v>
      </c>
      <c r="J670" s="319"/>
      <c r="K670" s="88"/>
    </row>
    <row r="671" spans="1:10" ht="12.75">
      <c r="A671" s="230"/>
      <c r="B671" s="230"/>
      <c r="C671" s="230"/>
      <c r="D671" s="230"/>
      <c r="E671" s="230"/>
      <c r="F671" s="230"/>
      <c r="G671" s="230"/>
      <c r="H671" s="230"/>
      <c r="I671" s="230"/>
      <c r="J671" s="230"/>
    </row>
    <row r="672" spans="1:10" ht="12.75">
      <c r="A672" s="230"/>
      <c r="B672" s="230"/>
      <c r="C672" s="230"/>
      <c r="D672" s="230"/>
      <c r="E672" s="237" t="s">
        <v>5</v>
      </c>
      <c r="F672" s="237" t="s">
        <v>176</v>
      </c>
      <c r="G672" s="239">
        <v>29357000</v>
      </c>
      <c r="H672" s="230"/>
      <c r="I672" s="230"/>
      <c r="J672" s="230"/>
    </row>
    <row r="673" spans="1:10" ht="12.75">
      <c r="A673" s="230"/>
      <c r="B673" s="230"/>
      <c r="C673" s="230"/>
      <c r="D673" s="230"/>
      <c r="E673" s="237"/>
      <c r="F673" s="237" t="s">
        <v>177</v>
      </c>
      <c r="G673" s="239">
        <f>G670*100/G672</f>
        <v>21.683978676295258</v>
      </c>
      <c r="H673" s="230"/>
      <c r="I673" s="230"/>
      <c r="J673" s="230"/>
    </row>
    <row r="674" spans="1:10" ht="12.75">
      <c r="A674" s="230"/>
      <c r="B674" s="230"/>
      <c r="C674" s="230"/>
      <c r="D674" s="230"/>
      <c r="E674" s="247"/>
      <c r="F674" s="247"/>
      <c r="G674" s="246"/>
      <c r="H674" s="230"/>
      <c r="I674" s="230"/>
      <c r="J674" s="230"/>
    </row>
    <row r="675" spans="1:10" ht="12.75">
      <c r="A675" s="230"/>
      <c r="B675" s="230"/>
      <c r="C675" s="230"/>
      <c r="D675" s="230"/>
      <c r="E675" s="247"/>
      <c r="F675" s="247"/>
      <c r="G675" s="246"/>
      <c r="H675" s="230"/>
      <c r="I675" s="230"/>
      <c r="J675" s="230"/>
    </row>
    <row r="676" spans="1:10" ht="12.75">
      <c r="A676" s="230"/>
      <c r="B676" s="230"/>
      <c r="C676" s="230"/>
      <c r="D676" s="230"/>
      <c r="E676" s="247"/>
      <c r="F676" s="247"/>
      <c r="G676" s="246"/>
      <c r="H676" s="230"/>
      <c r="I676" s="230"/>
      <c r="J676" s="230"/>
    </row>
    <row r="677" spans="1:10" ht="12.75">
      <c r="A677" s="230"/>
      <c r="B677" s="230"/>
      <c r="C677" s="230"/>
      <c r="D677" s="230"/>
      <c r="E677" s="247"/>
      <c r="F677" s="247"/>
      <c r="G677" s="246"/>
      <c r="H677" s="230"/>
      <c r="I677" s="230"/>
      <c r="J677" s="230"/>
    </row>
    <row r="678" spans="1:11" ht="12.75">
      <c r="A678" s="230"/>
      <c r="B678" s="230"/>
      <c r="C678" s="230"/>
      <c r="D678" s="230"/>
      <c r="E678" s="230"/>
      <c r="F678" s="230"/>
      <c r="G678" s="230"/>
      <c r="H678" s="230"/>
      <c r="I678" s="230"/>
      <c r="J678" s="230"/>
      <c r="K678" s="145"/>
    </row>
    <row r="679" spans="1:11" ht="12.75">
      <c r="A679" s="231" t="s">
        <v>203</v>
      </c>
      <c r="B679" s="231"/>
      <c r="C679" s="231"/>
      <c r="D679" s="278"/>
      <c r="E679" s="280"/>
      <c r="F679" s="273"/>
      <c r="G679" s="230"/>
      <c r="H679" s="230"/>
      <c r="I679" s="230"/>
      <c r="J679" s="231" t="s">
        <v>220</v>
      </c>
      <c r="K679" s="145"/>
    </row>
    <row r="680" spans="1:11" ht="12.75">
      <c r="A680" s="247"/>
      <c r="B680" s="247"/>
      <c r="C680" s="278" t="s">
        <v>204</v>
      </c>
      <c r="D680" s="255"/>
      <c r="E680" s="255"/>
      <c r="F680" s="255"/>
      <c r="G680" s="255"/>
      <c r="H680" s="255"/>
      <c r="I680" s="255"/>
      <c r="J680" s="230"/>
      <c r="K680" s="145"/>
    </row>
    <row r="681" spans="1:11" ht="33.75">
      <c r="A681" s="232" t="s">
        <v>0</v>
      </c>
      <c r="B681" s="232" t="s">
        <v>208</v>
      </c>
      <c r="C681" s="232" t="s">
        <v>1</v>
      </c>
      <c r="D681" s="232" t="s">
        <v>2</v>
      </c>
      <c r="E681" s="232" t="s">
        <v>3</v>
      </c>
      <c r="F681" s="233" t="s">
        <v>4</v>
      </c>
      <c r="G681" s="232" t="s">
        <v>5</v>
      </c>
      <c r="H681" s="232" t="s">
        <v>6</v>
      </c>
      <c r="I681" s="232" t="s">
        <v>7</v>
      </c>
      <c r="J681" s="232" t="s">
        <v>175</v>
      </c>
      <c r="K681" s="152" t="s">
        <v>170</v>
      </c>
    </row>
    <row r="682" spans="1:11" ht="12.75">
      <c r="A682" s="237">
        <v>74212101</v>
      </c>
      <c r="B682" s="239">
        <f>D682*100/122908188.27</f>
        <v>0.34437900839460484</v>
      </c>
      <c r="C682" s="237" t="s">
        <v>140</v>
      </c>
      <c r="D682" s="238">
        <v>423270</v>
      </c>
      <c r="E682" s="238"/>
      <c r="F682" s="238"/>
      <c r="G682" s="238">
        <v>423270</v>
      </c>
      <c r="H682" s="238"/>
      <c r="I682" s="238"/>
      <c r="J682" s="239"/>
      <c r="K682" s="101"/>
    </row>
    <row r="683" spans="1:11" ht="12.75">
      <c r="A683" s="237">
        <v>74212102</v>
      </c>
      <c r="B683" s="239">
        <f aca="true" t="shared" si="16" ref="B683:B711">D683*100/122908188.27</f>
        <v>2.853436845310681</v>
      </c>
      <c r="C683" s="237" t="s">
        <v>142</v>
      </c>
      <c r="D683" s="238">
        <v>3507107.53</v>
      </c>
      <c r="E683" s="238"/>
      <c r="F683" s="238"/>
      <c r="G683" s="238">
        <v>3507107.53</v>
      </c>
      <c r="H683" s="238"/>
      <c r="I683" s="238"/>
      <c r="J683" s="239"/>
      <c r="K683" s="101"/>
    </row>
    <row r="684" spans="1:11" ht="12.75">
      <c r="A684" s="237">
        <v>74212103</v>
      </c>
      <c r="B684" s="239">
        <f t="shared" si="16"/>
        <v>0.873798576902577</v>
      </c>
      <c r="C684" s="237" t="s">
        <v>139</v>
      </c>
      <c r="D684" s="238">
        <v>1073970</v>
      </c>
      <c r="E684" s="238"/>
      <c r="F684" s="238"/>
      <c r="G684" s="238">
        <v>1073970</v>
      </c>
      <c r="H684" s="238"/>
      <c r="I684" s="238"/>
      <c r="J684" s="242">
        <v>4620000</v>
      </c>
      <c r="K684" s="106">
        <f>(G684+G687+D690)*100/J684</f>
        <v>34.144344805194805</v>
      </c>
    </row>
    <row r="685" spans="1:11" ht="12.75">
      <c r="A685" s="237">
        <v>74212111</v>
      </c>
      <c r="B685" s="239">
        <f t="shared" si="16"/>
        <v>0.09216387581204723</v>
      </c>
      <c r="C685" s="237" t="s">
        <v>141</v>
      </c>
      <c r="D685" s="238">
        <v>113276.95</v>
      </c>
      <c r="E685" s="238"/>
      <c r="F685" s="238"/>
      <c r="G685" s="238">
        <v>113276.95</v>
      </c>
      <c r="H685" s="238"/>
      <c r="I685" s="238"/>
      <c r="J685" s="239"/>
      <c r="K685" s="101"/>
    </row>
    <row r="686" spans="1:11" ht="12.75">
      <c r="A686" s="237">
        <v>74212112</v>
      </c>
      <c r="B686" s="239">
        <f t="shared" si="16"/>
        <v>0.09574956856533934</v>
      </c>
      <c r="C686" s="237" t="s">
        <v>143</v>
      </c>
      <c r="D686" s="238">
        <v>117684.06</v>
      </c>
      <c r="E686" s="238"/>
      <c r="F686" s="238"/>
      <c r="G686" s="238">
        <v>117684.06</v>
      </c>
      <c r="H686" s="238"/>
      <c r="I686" s="286"/>
      <c r="J686" s="239"/>
      <c r="K686" s="101"/>
    </row>
    <row r="687" spans="1:11" ht="12.75">
      <c r="A687" s="237">
        <v>74212113</v>
      </c>
      <c r="B687" s="239">
        <f t="shared" si="16"/>
        <v>0.0907181218512969</v>
      </c>
      <c r="C687" s="237" t="s">
        <v>144</v>
      </c>
      <c r="D687" s="238">
        <v>111500</v>
      </c>
      <c r="E687" s="238"/>
      <c r="F687" s="238"/>
      <c r="G687" s="238">
        <v>111500</v>
      </c>
      <c r="H687" s="238"/>
      <c r="I687" s="286"/>
      <c r="J687" s="239"/>
      <c r="K687" s="101"/>
    </row>
    <row r="688" spans="1:11" ht="12.75">
      <c r="A688" s="237">
        <v>7421216</v>
      </c>
      <c r="B688" s="239">
        <f t="shared" si="16"/>
        <v>0.12956430506499406</v>
      </c>
      <c r="C688" s="237" t="s">
        <v>145</v>
      </c>
      <c r="D688" s="238">
        <v>159245.14</v>
      </c>
      <c r="E688" s="238"/>
      <c r="F688" s="238"/>
      <c r="G688" s="238"/>
      <c r="H688" s="238">
        <v>159245.14</v>
      </c>
      <c r="I688" s="286"/>
      <c r="J688" s="239"/>
      <c r="K688" s="101"/>
    </row>
    <row r="689" spans="1:11" ht="12.75">
      <c r="A689" s="237">
        <v>7421217</v>
      </c>
      <c r="B689" s="239">
        <f t="shared" si="16"/>
        <v>7.999581889858411</v>
      </c>
      <c r="C689" s="237" t="s">
        <v>146</v>
      </c>
      <c r="D689" s="238">
        <v>9832141.17</v>
      </c>
      <c r="E689" s="238"/>
      <c r="F689" s="238"/>
      <c r="G689" s="238">
        <v>9832141.17</v>
      </c>
      <c r="H689" s="238"/>
      <c r="I689" s="286"/>
      <c r="J689" s="239"/>
      <c r="K689" s="101"/>
    </row>
    <row r="690" spans="1:11" ht="12.75">
      <c r="A690" s="237">
        <v>74212171</v>
      </c>
      <c r="B690" s="239">
        <f t="shared" si="16"/>
        <v>0.31893622021249896</v>
      </c>
      <c r="C690" s="237" t="s">
        <v>147</v>
      </c>
      <c r="D690" s="238">
        <v>391998.73</v>
      </c>
      <c r="E690" s="238"/>
      <c r="F690" s="238"/>
      <c r="G690" s="238">
        <v>391998.73</v>
      </c>
      <c r="H690" s="238"/>
      <c r="I690" s="286"/>
      <c r="J690" s="242"/>
      <c r="K690" s="101"/>
    </row>
    <row r="691" spans="1:11" ht="12.75">
      <c r="A691" s="237">
        <v>742161</v>
      </c>
      <c r="B691" s="239">
        <f t="shared" si="16"/>
        <v>0.06305137280989066</v>
      </c>
      <c r="C691" s="237" t="s">
        <v>148</v>
      </c>
      <c r="D691" s="238">
        <v>77495.3</v>
      </c>
      <c r="E691" s="238"/>
      <c r="F691" s="238"/>
      <c r="G691" s="238">
        <v>77495.3</v>
      </c>
      <c r="H691" s="238"/>
      <c r="I691" s="286"/>
      <c r="J691" s="239"/>
      <c r="K691" s="101"/>
    </row>
    <row r="692" spans="1:11" ht="12.75">
      <c r="A692" s="240">
        <v>7421</v>
      </c>
      <c r="B692" s="242">
        <f t="shared" si="16"/>
        <v>12.861379784782342</v>
      </c>
      <c r="C692" s="240" t="s">
        <v>149</v>
      </c>
      <c r="D692" s="241">
        <f>SUM(D682:D691)</f>
        <v>15807688.879999999</v>
      </c>
      <c r="E692" s="238"/>
      <c r="F692" s="238"/>
      <c r="G692" s="241">
        <f>SUM(G682:G691)</f>
        <v>15648443.74</v>
      </c>
      <c r="H692" s="241">
        <f>SUM(H688:H691)</f>
        <v>159245.14</v>
      </c>
      <c r="I692" s="286"/>
      <c r="J692" s="242">
        <v>23920000</v>
      </c>
      <c r="K692" s="106">
        <f>(D692-D684-D687-D690)*100/J692</f>
        <v>59.49088691471571</v>
      </c>
    </row>
    <row r="693" spans="1:11" ht="12.75">
      <c r="A693" s="237">
        <v>7451611</v>
      </c>
      <c r="B693" s="239">
        <f t="shared" si="16"/>
        <v>0.00482652952866604</v>
      </c>
      <c r="C693" s="237" t="s">
        <v>150</v>
      </c>
      <c r="D693" s="238">
        <v>5932.2</v>
      </c>
      <c r="E693" s="238"/>
      <c r="F693" s="238"/>
      <c r="G693" s="238">
        <v>5932.2</v>
      </c>
      <c r="H693" s="241"/>
      <c r="I693" s="286"/>
      <c r="J693" s="239"/>
      <c r="K693" s="101"/>
    </row>
    <row r="694" spans="1:11" ht="12.75">
      <c r="A694" s="240">
        <v>7451</v>
      </c>
      <c r="B694" s="242">
        <f t="shared" si="16"/>
        <v>0.00482652952866604</v>
      </c>
      <c r="C694" s="240" t="s">
        <v>151</v>
      </c>
      <c r="D694" s="241">
        <f>SUM(D693)</f>
        <v>5932.2</v>
      </c>
      <c r="E694" s="241"/>
      <c r="F694" s="241"/>
      <c r="G694" s="241">
        <f>SUM(G693)</f>
        <v>5932.2</v>
      </c>
      <c r="H694" s="238"/>
      <c r="I694" s="286"/>
      <c r="J694" s="239"/>
      <c r="K694" s="101"/>
    </row>
    <row r="695" spans="1:11" ht="12.75">
      <c r="A695" s="237">
        <v>7711111</v>
      </c>
      <c r="B695" s="239">
        <f t="shared" si="16"/>
        <v>1.0150538524409412</v>
      </c>
      <c r="C695" s="237" t="s">
        <v>152</v>
      </c>
      <c r="D695" s="238">
        <v>1247584.3</v>
      </c>
      <c r="E695" s="238"/>
      <c r="F695" s="238"/>
      <c r="G695" s="238"/>
      <c r="H695" s="238"/>
      <c r="I695" s="286">
        <v>1247584.3</v>
      </c>
      <c r="J695" s="239"/>
      <c r="K695" s="101"/>
    </row>
    <row r="696" spans="1:11" ht="12.75">
      <c r="A696" s="237">
        <v>7711112</v>
      </c>
      <c r="B696" s="239">
        <f t="shared" si="16"/>
        <v>0.11992203454843099</v>
      </c>
      <c r="C696" s="237" t="s">
        <v>153</v>
      </c>
      <c r="D696" s="238">
        <v>147394</v>
      </c>
      <c r="E696" s="238">
        <v>147394</v>
      </c>
      <c r="F696" s="238"/>
      <c r="G696" s="238"/>
      <c r="H696" s="238"/>
      <c r="I696" s="238"/>
      <c r="J696" s="239"/>
      <c r="K696" s="101"/>
    </row>
    <row r="697" spans="1:11" ht="12.75">
      <c r="A697" s="240">
        <v>7711</v>
      </c>
      <c r="B697" s="242">
        <f t="shared" si="16"/>
        <v>1.1349758869893722</v>
      </c>
      <c r="C697" s="240" t="s">
        <v>154</v>
      </c>
      <c r="D697" s="241">
        <f>SUM(D695:D696)</f>
        <v>1394978.3</v>
      </c>
      <c r="E697" s="241">
        <f>SUM(E695:E696)</f>
        <v>147394</v>
      </c>
      <c r="F697" s="241"/>
      <c r="G697" s="241"/>
      <c r="H697" s="241"/>
      <c r="I697" s="287">
        <f>SUM(I695:I696)</f>
        <v>1247584.3</v>
      </c>
      <c r="J697" s="239"/>
      <c r="K697" s="101"/>
    </row>
    <row r="698" spans="1:11" ht="12.75">
      <c r="A698" s="325">
        <v>7811110101</v>
      </c>
      <c r="B698" s="239">
        <f t="shared" si="16"/>
        <v>64.84753217166596</v>
      </c>
      <c r="C698" s="237" t="s">
        <v>155</v>
      </c>
      <c r="D698" s="238">
        <v>79702926.93</v>
      </c>
      <c r="E698" s="238">
        <v>79702926.93</v>
      </c>
      <c r="F698" s="238"/>
      <c r="G698" s="238"/>
      <c r="H698" s="238"/>
      <c r="I698" s="286"/>
      <c r="J698" s="251">
        <v>187186000</v>
      </c>
      <c r="K698" s="101">
        <f>D698*100/J698</f>
        <v>42.57953422264486</v>
      </c>
    </row>
    <row r="699" spans="1:11" ht="12.75">
      <c r="A699" s="325">
        <v>7811110102</v>
      </c>
      <c r="B699" s="239">
        <f t="shared" si="16"/>
        <v>2.183201434964899</v>
      </c>
      <c r="C699" s="237" t="s">
        <v>156</v>
      </c>
      <c r="D699" s="238">
        <v>2683333.33</v>
      </c>
      <c r="E699" s="238">
        <v>2683333.33</v>
      </c>
      <c r="F699" s="238"/>
      <c r="G699" s="238"/>
      <c r="H699" s="238"/>
      <c r="I699" s="286"/>
      <c r="J699" s="251">
        <v>4025000</v>
      </c>
      <c r="K699" s="101">
        <f aca="true" t="shared" si="17" ref="K699:K709">D699*100/J699</f>
        <v>66.66666658385093</v>
      </c>
    </row>
    <row r="700" spans="1:11" ht="12.75">
      <c r="A700" s="325">
        <v>7811110103</v>
      </c>
      <c r="B700" s="239">
        <f t="shared" si="16"/>
        <v>3.723104257258775</v>
      </c>
      <c r="C700" s="237" t="s">
        <v>157</v>
      </c>
      <c r="D700" s="238">
        <v>4575999.99</v>
      </c>
      <c r="E700" s="238">
        <v>4575999.99</v>
      </c>
      <c r="F700" s="238"/>
      <c r="G700" s="238"/>
      <c r="H700" s="238"/>
      <c r="I700" s="286"/>
      <c r="J700" s="251">
        <v>14025000</v>
      </c>
      <c r="K700" s="101">
        <f t="shared" si="17"/>
        <v>32.62745090909091</v>
      </c>
    </row>
    <row r="701" spans="1:11" ht="12.75">
      <c r="A701" s="325">
        <v>7811110104</v>
      </c>
      <c r="B701" s="239">
        <f t="shared" si="16"/>
        <v>1.9185849479937176</v>
      </c>
      <c r="C701" s="237" t="s">
        <v>158</v>
      </c>
      <c r="D701" s="238">
        <v>2358098</v>
      </c>
      <c r="E701" s="238">
        <v>2358098</v>
      </c>
      <c r="F701" s="238"/>
      <c r="G701" s="238"/>
      <c r="H701" s="238"/>
      <c r="I701" s="286"/>
      <c r="J701" s="251">
        <f>13692000-4915000</f>
        <v>8777000</v>
      </c>
      <c r="K701" s="101">
        <f t="shared" si="17"/>
        <v>26.86678819642247</v>
      </c>
    </row>
    <row r="702" spans="1:11" ht="12.75">
      <c r="A702" s="325">
        <v>7811110105</v>
      </c>
      <c r="B702" s="239">
        <f t="shared" si="16"/>
        <v>1.2133040287959327</v>
      </c>
      <c r="C702" s="237" t="s">
        <v>159</v>
      </c>
      <c r="D702" s="238">
        <v>1491250</v>
      </c>
      <c r="E702" s="238">
        <v>1491250</v>
      </c>
      <c r="F702" s="238"/>
      <c r="G702" s="238"/>
      <c r="H702" s="238"/>
      <c r="I702" s="286"/>
      <c r="J702" s="251">
        <v>5965000</v>
      </c>
      <c r="K702" s="101">
        <f t="shared" si="17"/>
        <v>25</v>
      </c>
    </row>
    <row r="703" spans="1:11" ht="12.75">
      <c r="A703" s="325">
        <v>7811110106</v>
      </c>
      <c r="B703" s="239">
        <f t="shared" si="16"/>
        <v>1.0894310776581753</v>
      </c>
      <c r="C703" s="237" t="s">
        <v>160</v>
      </c>
      <c r="D703" s="238">
        <v>1339000</v>
      </c>
      <c r="E703" s="238">
        <v>1339000</v>
      </c>
      <c r="F703" s="238"/>
      <c r="G703" s="238"/>
      <c r="H703" s="238"/>
      <c r="I703" s="286"/>
      <c r="J703" s="251">
        <v>5356000</v>
      </c>
      <c r="K703" s="101">
        <f t="shared" si="17"/>
        <v>25</v>
      </c>
    </row>
    <row r="704" spans="1:11" ht="12.75">
      <c r="A704" s="325">
        <v>781111013</v>
      </c>
      <c r="B704" s="239">
        <f t="shared" si="16"/>
        <v>9.63882944395467</v>
      </c>
      <c r="C704" s="237" t="s">
        <v>161</v>
      </c>
      <c r="D704" s="238">
        <v>11846910.64</v>
      </c>
      <c r="E704" s="238">
        <v>11846910.64</v>
      </c>
      <c r="F704" s="238"/>
      <c r="G704" s="238"/>
      <c r="H704" s="238"/>
      <c r="I704" s="286"/>
      <c r="J704" s="251">
        <v>28900000</v>
      </c>
      <c r="K704" s="101">
        <f t="shared" si="17"/>
        <v>40.99277038062284</v>
      </c>
    </row>
    <row r="705" spans="1:11" ht="12.75">
      <c r="A705" s="325">
        <v>7811110501</v>
      </c>
      <c r="B705" s="239">
        <f t="shared" si="16"/>
        <v>0.8933253475252777</v>
      </c>
      <c r="C705" s="237" t="s">
        <v>162</v>
      </c>
      <c r="D705" s="238">
        <v>1097970</v>
      </c>
      <c r="E705" s="238"/>
      <c r="F705" s="238">
        <v>1097970</v>
      </c>
      <c r="G705" s="238"/>
      <c r="H705" s="238"/>
      <c r="I705" s="238"/>
      <c r="J705" s="251">
        <v>4915000</v>
      </c>
      <c r="K705" s="101">
        <f>(D705+D707)*100/J705</f>
        <v>33.489318413021365</v>
      </c>
    </row>
    <row r="706" spans="1:11" ht="12.75">
      <c r="A706" s="325">
        <v>7811110502</v>
      </c>
      <c r="B706" s="239">
        <f t="shared" si="16"/>
        <v>0.0453753332345007</v>
      </c>
      <c r="C706" s="237" t="s">
        <v>163</v>
      </c>
      <c r="D706" s="238">
        <v>55770</v>
      </c>
      <c r="E706" s="238"/>
      <c r="F706" s="238">
        <v>55770</v>
      </c>
      <c r="G706" s="238"/>
      <c r="H706" s="238"/>
      <c r="I706" s="238"/>
      <c r="J706" s="251">
        <v>134000</v>
      </c>
      <c r="K706" s="101">
        <f>(D706+D708)*100/J706</f>
        <v>41.843283582089555</v>
      </c>
    </row>
    <row r="707" spans="1:11" ht="12.75">
      <c r="A707" s="325">
        <v>7811110511</v>
      </c>
      <c r="B707" s="239">
        <f t="shared" si="16"/>
        <v>0.44588567101494386</v>
      </c>
      <c r="C707" s="237" t="s">
        <v>164</v>
      </c>
      <c r="D707" s="238">
        <v>548030</v>
      </c>
      <c r="E707" s="238"/>
      <c r="F707" s="238">
        <v>548030</v>
      </c>
      <c r="G707" s="238"/>
      <c r="H707" s="238"/>
      <c r="I707" s="238"/>
      <c r="J707" s="251"/>
      <c r="K707" s="101"/>
    </row>
    <row r="708" spans="1:11" ht="12.75">
      <c r="A708" s="325">
        <v>7811110512</v>
      </c>
      <c r="B708" s="239">
        <f t="shared" si="16"/>
        <v>0.0002440846327837585</v>
      </c>
      <c r="C708" s="237" t="s">
        <v>165</v>
      </c>
      <c r="D708" s="238">
        <v>300</v>
      </c>
      <c r="E708" s="238"/>
      <c r="F708" s="238">
        <v>300</v>
      </c>
      <c r="G708" s="238"/>
      <c r="H708" s="238"/>
      <c r="I708" s="238"/>
      <c r="J708" s="251"/>
      <c r="K708" s="101"/>
    </row>
    <row r="709" spans="1:11" ht="12.75">
      <c r="A709" s="240">
        <v>7811</v>
      </c>
      <c r="B709" s="242">
        <f t="shared" si="16"/>
        <v>85.99881779869962</v>
      </c>
      <c r="C709" s="240" t="s">
        <v>166</v>
      </c>
      <c r="D709" s="241">
        <f>SUM(D698:D708)</f>
        <v>105699588.89</v>
      </c>
      <c r="E709" s="241">
        <f>SUM(E698:E708)</f>
        <v>103997518.89</v>
      </c>
      <c r="F709" s="241">
        <f>SUM(F705:F708)</f>
        <v>1702070</v>
      </c>
      <c r="G709" s="241"/>
      <c r="H709" s="241"/>
      <c r="I709" s="241"/>
      <c r="J709" s="242">
        <f>SUM(J698:J708)</f>
        <v>259283000</v>
      </c>
      <c r="K709" s="106">
        <f t="shared" si="17"/>
        <v>40.76610841821485</v>
      </c>
    </row>
    <row r="710" spans="1:11" ht="12.75">
      <c r="A710" s="247"/>
      <c r="B710" s="239"/>
      <c r="C710" s="247"/>
      <c r="D710" s="255"/>
      <c r="E710" s="255"/>
      <c r="F710" s="255"/>
      <c r="G710" s="255"/>
      <c r="H710" s="255"/>
      <c r="I710" s="255"/>
      <c r="J710" s="246"/>
      <c r="K710" s="122"/>
    </row>
    <row r="711" spans="1:11" ht="12.75">
      <c r="A711" s="247"/>
      <c r="B711" s="242">
        <f t="shared" si="16"/>
        <v>100</v>
      </c>
      <c r="C711" s="240" t="s">
        <v>137</v>
      </c>
      <c r="D711" s="241">
        <f>D709+D697+D694+D692</f>
        <v>122908188.27</v>
      </c>
      <c r="E711" s="241">
        <f>E709+E697</f>
        <v>104144912.89</v>
      </c>
      <c r="F711" s="241">
        <f>F709</f>
        <v>1702070</v>
      </c>
      <c r="G711" s="241">
        <f>G694+G692</f>
        <v>15654375.94</v>
      </c>
      <c r="H711" s="241">
        <f>H692</f>
        <v>159245.14</v>
      </c>
      <c r="I711" s="241">
        <f>I697</f>
        <v>1247584.3</v>
      </c>
      <c r="J711" s="242">
        <f>J709+J692+J684</f>
        <v>287823000</v>
      </c>
      <c r="K711" s="106">
        <f>D711*100/J711</f>
        <v>42.70269862728135</v>
      </c>
    </row>
    <row r="712" spans="1:11" ht="12.75">
      <c r="A712" s="247"/>
      <c r="B712" s="237"/>
      <c r="C712" s="240" t="s">
        <v>209</v>
      </c>
      <c r="D712" s="241">
        <v>100</v>
      </c>
      <c r="E712" s="241">
        <f>E711*100/122908188.27</f>
        <v>84.73390939684055</v>
      </c>
      <c r="F712" s="241">
        <f>F711*100/122908188.27</f>
        <v>1.384830436407506</v>
      </c>
      <c r="G712" s="241">
        <f>G711*100/122908188.27</f>
        <v>12.736642009246014</v>
      </c>
      <c r="H712" s="241">
        <f>H711*100/122908188.27</f>
        <v>0.12956430506499406</v>
      </c>
      <c r="I712" s="287">
        <f>I711*100/122908188.27</f>
        <v>1.0150538524409412</v>
      </c>
      <c r="J712" s="242"/>
      <c r="K712" s="122"/>
    </row>
    <row r="713" spans="1:11" ht="12.75">
      <c r="A713" s="247"/>
      <c r="B713" s="247"/>
      <c r="C713" s="326" t="s">
        <v>205</v>
      </c>
      <c r="D713" s="265">
        <f>D714+D715</f>
        <v>5087554.279999999</v>
      </c>
      <c r="E713" s="265"/>
      <c r="F713" s="265"/>
      <c r="G713" s="265"/>
      <c r="H713" s="265"/>
      <c r="I713" s="289"/>
      <c r="J713" s="251">
        <f>J714+J715</f>
        <v>5437000</v>
      </c>
      <c r="K713" s="122"/>
    </row>
    <row r="714" spans="1:11" ht="12.75">
      <c r="A714" s="247"/>
      <c r="B714" s="247"/>
      <c r="C714" s="284" t="s">
        <v>190</v>
      </c>
      <c r="D714" s="285">
        <v>3650554.28</v>
      </c>
      <c r="E714" s="241"/>
      <c r="F714" s="241"/>
      <c r="G714" s="241"/>
      <c r="H714" s="285">
        <v>3650554.28</v>
      </c>
      <c r="I714" s="287"/>
      <c r="J714" s="251">
        <v>4000000</v>
      </c>
      <c r="K714" s="122"/>
    </row>
    <row r="715" spans="1:11" ht="12.75">
      <c r="A715" s="270"/>
      <c r="B715" s="270"/>
      <c r="C715" s="284" t="s">
        <v>191</v>
      </c>
      <c r="D715" s="239">
        <v>1437000</v>
      </c>
      <c r="E715" s="237"/>
      <c r="F715" s="237"/>
      <c r="G715" s="239">
        <v>1437000</v>
      </c>
      <c r="H715" s="237"/>
      <c r="I715" s="327"/>
      <c r="J715" s="251">
        <v>1437000</v>
      </c>
      <c r="K715" s="122"/>
    </row>
    <row r="716" spans="1:11" ht="12.75">
      <c r="A716" s="270"/>
      <c r="B716" s="270"/>
      <c r="C716" s="240" t="s">
        <v>206</v>
      </c>
      <c r="D716" s="271"/>
      <c r="E716" s="271"/>
      <c r="F716" s="271"/>
      <c r="G716" s="271"/>
      <c r="H716" s="271"/>
      <c r="I716" s="328"/>
      <c r="J716" s="242">
        <f>J711+J713</f>
        <v>293260000</v>
      </c>
      <c r="K716" s="122"/>
    </row>
    <row r="717" spans="1:11" ht="12.75">
      <c r="A717" s="270"/>
      <c r="B717" s="270"/>
      <c r="C717" s="244"/>
      <c r="D717" s="270"/>
      <c r="E717" s="270"/>
      <c r="F717" s="270"/>
      <c r="G717" s="270"/>
      <c r="H717" s="270"/>
      <c r="I717" s="270"/>
      <c r="J717" s="242"/>
      <c r="K717" s="122"/>
    </row>
    <row r="718" spans="1:11" ht="12.75">
      <c r="A718" s="270"/>
      <c r="B718" s="270"/>
      <c r="C718" s="240" t="s">
        <v>207</v>
      </c>
      <c r="D718" s="242">
        <v>107362902.49000001</v>
      </c>
      <c r="E718" s="242">
        <v>97678691.37</v>
      </c>
      <c r="F718" s="242">
        <v>1633750</v>
      </c>
      <c r="G718" s="242">
        <v>6365765.619999999</v>
      </c>
      <c r="H718" s="242">
        <v>244901.87</v>
      </c>
      <c r="I718" s="329">
        <v>1439793.63</v>
      </c>
      <c r="J718" s="242">
        <v>293260000</v>
      </c>
      <c r="K718" s="125"/>
    </row>
    <row r="719" spans="1:11" ht="12.75">
      <c r="A719" s="270"/>
      <c r="B719" s="270"/>
      <c r="C719" s="240" t="s">
        <v>168</v>
      </c>
      <c r="D719" s="241">
        <f aca="true" t="shared" si="18" ref="D719:I719">D711-D718</f>
        <v>15545285.779999986</v>
      </c>
      <c r="E719" s="241">
        <f t="shared" si="18"/>
        <v>6466221.519999996</v>
      </c>
      <c r="F719" s="241">
        <f t="shared" si="18"/>
        <v>68320</v>
      </c>
      <c r="G719" s="241">
        <f t="shared" si="18"/>
        <v>9288610.32</v>
      </c>
      <c r="H719" s="241">
        <f t="shared" si="18"/>
        <v>-85656.72999999998</v>
      </c>
      <c r="I719" s="287">
        <f t="shared" si="18"/>
        <v>-192209.32999999984</v>
      </c>
      <c r="J719" s="241">
        <v>0</v>
      </c>
      <c r="K719" s="122"/>
    </row>
    <row r="720" spans="1:11" ht="12.75">
      <c r="A720" s="230"/>
      <c r="B720" s="230"/>
      <c r="C720" s="230"/>
      <c r="D720" s="230"/>
      <c r="E720" s="230"/>
      <c r="F720" s="230"/>
      <c r="G720" s="230"/>
      <c r="H720" s="230"/>
      <c r="I720" s="230"/>
      <c r="J720" s="330"/>
      <c r="K720" s="145"/>
    </row>
    <row r="721" spans="1:10" ht="12.75">
      <c r="A721" s="230"/>
      <c r="B721" s="230"/>
      <c r="C721" s="230"/>
      <c r="D721" s="230"/>
      <c r="E721" s="230"/>
      <c r="F721" s="230"/>
      <c r="G721" s="230"/>
      <c r="H721" s="230"/>
      <c r="I721" s="230"/>
      <c r="J721" s="330"/>
    </row>
    <row r="722" spans="1:10" ht="12.75">
      <c r="A722" s="230"/>
      <c r="B722" s="230"/>
      <c r="C722" s="230"/>
      <c r="D722" s="230"/>
      <c r="E722" s="230"/>
      <c r="F722" s="230"/>
      <c r="G722" s="230"/>
      <c r="H722" s="230"/>
      <c r="I722" s="230"/>
      <c r="J722" s="230"/>
    </row>
    <row r="723" spans="1:10" ht="12.75">
      <c r="A723" s="230"/>
      <c r="B723" s="230"/>
      <c r="C723" s="230"/>
      <c r="D723" s="230"/>
      <c r="E723" s="230"/>
      <c r="F723" s="230"/>
      <c r="G723" s="230"/>
      <c r="H723" s="230"/>
      <c r="I723" s="230"/>
      <c r="J723" s="230"/>
    </row>
    <row r="724" spans="1:10" ht="12.75">
      <c r="A724" s="231" t="s">
        <v>203</v>
      </c>
      <c r="B724" s="231"/>
      <c r="C724" s="231"/>
      <c r="D724" s="278"/>
      <c r="E724" s="280"/>
      <c r="F724" s="273"/>
      <c r="G724" s="230"/>
      <c r="H724" s="230"/>
      <c r="I724" s="230"/>
      <c r="J724" s="230"/>
    </row>
    <row r="725" spans="1:10" ht="12.75">
      <c r="A725" s="247"/>
      <c r="B725" s="247"/>
      <c r="C725" s="278" t="s">
        <v>212</v>
      </c>
      <c r="D725" s="255"/>
      <c r="E725" s="255"/>
      <c r="F725" s="255"/>
      <c r="G725" s="331" t="s">
        <v>221</v>
      </c>
      <c r="H725" s="255"/>
      <c r="I725" s="255"/>
      <c r="J725" s="230"/>
    </row>
    <row r="726" spans="1:11" ht="33.75">
      <c r="A726" s="232" t="s">
        <v>0</v>
      </c>
      <c r="B726" s="232" t="s">
        <v>208</v>
      </c>
      <c r="C726" s="232" t="s">
        <v>1</v>
      </c>
      <c r="D726" s="232" t="s">
        <v>3</v>
      </c>
      <c r="E726" s="332" t="s">
        <v>4</v>
      </c>
      <c r="F726" s="232" t="s">
        <v>197</v>
      </c>
      <c r="G726" s="333" t="s">
        <v>175</v>
      </c>
      <c r="H726" s="232" t="s">
        <v>170</v>
      </c>
      <c r="I726" s="279"/>
      <c r="J726" s="279"/>
      <c r="K726" s="55"/>
    </row>
    <row r="727" spans="1:11" ht="12.75">
      <c r="A727" s="325">
        <v>7811110101</v>
      </c>
      <c r="B727" s="251">
        <f>D727*100/104144912.89</f>
        <v>76.53079225692366</v>
      </c>
      <c r="C727" s="237" t="s">
        <v>155</v>
      </c>
      <c r="D727" s="238">
        <v>79702926.93</v>
      </c>
      <c r="E727" s="286"/>
      <c r="F727" s="238">
        <f aca="true" t="shared" si="19" ref="F727:F736">D727+E727</f>
        <v>79702926.93</v>
      </c>
      <c r="G727" s="334">
        <v>187186000</v>
      </c>
      <c r="H727" s="238">
        <f>D727*100/G727</f>
        <v>42.57953422264486</v>
      </c>
      <c r="I727" s="255"/>
      <c r="J727" s="254"/>
      <c r="K727" s="92"/>
    </row>
    <row r="728" spans="1:11" ht="12.75">
      <c r="A728" s="325">
        <v>7811110102</v>
      </c>
      <c r="B728" s="251">
        <f aca="true" t="shared" si="20" ref="B728:B733">D728*100/104144912.89</f>
        <v>2.5765380713642654</v>
      </c>
      <c r="C728" s="237" t="s">
        <v>156</v>
      </c>
      <c r="D728" s="238">
        <v>2683333.33</v>
      </c>
      <c r="E728" s="286"/>
      <c r="F728" s="238">
        <f t="shared" si="19"/>
        <v>2683333.33</v>
      </c>
      <c r="G728" s="334">
        <v>4025000</v>
      </c>
      <c r="H728" s="238">
        <f aca="true" t="shared" si="21" ref="H728:H736">D728*100/G728</f>
        <v>66.66666658385093</v>
      </c>
      <c r="I728" s="255"/>
      <c r="J728" s="254"/>
      <c r="K728" s="92"/>
    </row>
    <row r="729" spans="1:11" ht="12.75">
      <c r="A729" s="325">
        <v>7811110103</v>
      </c>
      <c r="B729" s="251">
        <f t="shared" si="20"/>
        <v>4.393877591345499</v>
      </c>
      <c r="C729" s="237" t="s">
        <v>157</v>
      </c>
      <c r="D729" s="238">
        <v>4575999.99</v>
      </c>
      <c r="E729" s="286"/>
      <c r="F729" s="238">
        <f t="shared" si="19"/>
        <v>4575999.99</v>
      </c>
      <c r="G729" s="334">
        <v>14025000</v>
      </c>
      <c r="H729" s="238">
        <f t="shared" si="21"/>
        <v>32.62745090909091</v>
      </c>
      <c r="I729" s="255"/>
      <c r="J729" s="254"/>
      <c r="K729" s="92"/>
    </row>
    <row r="730" spans="1:11" ht="12.75">
      <c r="A730" s="325">
        <v>7811110104</v>
      </c>
      <c r="B730" s="251">
        <f t="shared" si="20"/>
        <v>2.2642469368529516</v>
      </c>
      <c r="C730" s="237" t="s">
        <v>158</v>
      </c>
      <c r="D730" s="238">
        <v>2358098</v>
      </c>
      <c r="E730" s="286"/>
      <c r="F730" s="238">
        <f t="shared" si="19"/>
        <v>2358098</v>
      </c>
      <c r="G730" s="334">
        <f>13692000-4915000</f>
        <v>8777000</v>
      </c>
      <c r="H730" s="238">
        <f t="shared" si="21"/>
        <v>26.86678819642247</v>
      </c>
      <c r="I730" s="255"/>
      <c r="J730" s="254"/>
      <c r="K730" s="92"/>
    </row>
    <row r="731" spans="1:11" ht="12.75">
      <c r="A731" s="325">
        <v>7811110105</v>
      </c>
      <c r="B731" s="251">
        <f t="shared" si="20"/>
        <v>1.4318990324329033</v>
      </c>
      <c r="C731" s="237" t="s">
        <v>159</v>
      </c>
      <c r="D731" s="238">
        <v>1491250</v>
      </c>
      <c r="E731" s="286"/>
      <c r="F731" s="238">
        <f t="shared" si="19"/>
        <v>1491250</v>
      </c>
      <c r="G731" s="334">
        <v>5965000</v>
      </c>
      <c r="H731" s="238">
        <f t="shared" si="21"/>
        <v>25</v>
      </c>
      <c r="I731" s="255"/>
      <c r="J731" s="254"/>
      <c r="K731" s="92"/>
    </row>
    <row r="732" spans="1:11" ht="12.75">
      <c r="A732" s="325">
        <v>7811110106</v>
      </c>
      <c r="B732" s="251">
        <f t="shared" si="20"/>
        <v>1.28570850254998</v>
      </c>
      <c r="C732" s="237" t="s">
        <v>160</v>
      </c>
      <c r="D732" s="238">
        <v>1339000</v>
      </c>
      <c r="E732" s="286"/>
      <c r="F732" s="238">
        <f t="shared" si="19"/>
        <v>1339000</v>
      </c>
      <c r="G732" s="334">
        <v>5356000</v>
      </c>
      <c r="H732" s="238">
        <f t="shared" si="21"/>
        <v>25</v>
      </c>
      <c r="I732" s="255"/>
      <c r="J732" s="254"/>
      <c r="K732" s="92"/>
    </row>
    <row r="733" spans="1:11" ht="12.75">
      <c r="A733" s="325">
        <v>781111013</v>
      </c>
      <c r="B733" s="251">
        <f t="shared" si="20"/>
        <v>11.375409812395686</v>
      </c>
      <c r="C733" s="237" t="s">
        <v>161</v>
      </c>
      <c r="D733" s="238">
        <v>11846910.64</v>
      </c>
      <c r="E733" s="286"/>
      <c r="F733" s="238">
        <f t="shared" si="19"/>
        <v>11846910.64</v>
      </c>
      <c r="G733" s="334">
        <v>28900000</v>
      </c>
      <c r="H733" s="238">
        <f t="shared" si="21"/>
        <v>40.99277038062284</v>
      </c>
      <c r="I733" s="255"/>
      <c r="J733" s="254"/>
      <c r="K733" s="92"/>
    </row>
    <row r="734" spans="1:11" ht="12.75">
      <c r="A734" s="325">
        <v>7811110501</v>
      </c>
      <c r="B734" s="251">
        <f>E734*100/1702070</f>
        <v>96.70577590815888</v>
      </c>
      <c r="C734" s="237" t="s">
        <v>210</v>
      </c>
      <c r="D734" s="238"/>
      <c r="E734" s="286">
        <f>1097970+548030</f>
        <v>1646000</v>
      </c>
      <c r="F734" s="238">
        <f t="shared" si="19"/>
        <v>1646000</v>
      </c>
      <c r="G734" s="334">
        <v>4915000</v>
      </c>
      <c r="H734" s="238">
        <f>E734*100/G734</f>
        <v>33.489318413021365</v>
      </c>
      <c r="I734" s="255"/>
      <c r="J734" s="254"/>
      <c r="K734" s="122"/>
    </row>
    <row r="735" spans="1:11" ht="12.75">
      <c r="A735" s="325">
        <v>7811110502</v>
      </c>
      <c r="B735" s="251">
        <f>E735*100/1702070</f>
        <v>3.294224091841111</v>
      </c>
      <c r="C735" s="237" t="s">
        <v>211</v>
      </c>
      <c r="D735" s="238"/>
      <c r="E735" s="286">
        <f>55770+300</f>
        <v>56070</v>
      </c>
      <c r="F735" s="238">
        <f t="shared" si="19"/>
        <v>56070</v>
      </c>
      <c r="G735" s="334">
        <v>134000</v>
      </c>
      <c r="H735" s="238">
        <f>E735*100/G735</f>
        <v>41.843283582089555</v>
      </c>
      <c r="I735" s="255"/>
      <c r="J735" s="254"/>
      <c r="K735" s="92"/>
    </row>
    <row r="736" spans="1:11" ht="12.75">
      <c r="A736" s="240">
        <v>7811</v>
      </c>
      <c r="B736" s="242">
        <v>100</v>
      </c>
      <c r="C736" s="240" t="s">
        <v>166</v>
      </c>
      <c r="D736" s="241">
        <f>SUM(D727:D735)</f>
        <v>103997518.89</v>
      </c>
      <c r="E736" s="287">
        <f>SUM(E733:E735)</f>
        <v>1702070</v>
      </c>
      <c r="F736" s="274">
        <f t="shared" si="19"/>
        <v>105699588.89</v>
      </c>
      <c r="G736" s="335">
        <f>SUM(G727:G735)</f>
        <v>259283000</v>
      </c>
      <c r="H736" s="274">
        <f t="shared" si="21"/>
        <v>40.10965581623169</v>
      </c>
      <c r="I736" s="245"/>
      <c r="J736" s="280"/>
      <c r="K736" s="120"/>
    </row>
    <row r="737" spans="1:11" ht="12.75">
      <c r="A737" s="244"/>
      <c r="B737" s="280"/>
      <c r="C737" s="244"/>
      <c r="D737" s="245"/>
      <c r="E737" s="245"/>
      <c r="F737" s="331"/>
      <c r="G737" s="245"/>
      <c r="H737" s="331"/>
      <c r="I737" s="245"/>
      <c r="J737" s="280"/>
      <c r="K737" s="120"/>
    </row>
    <row r="738" spans="1:11" ht="12.75">
      <c r="A738" s="244"/>
      <c r="B738" s="280"/>
      <c r="C738" s="244"/>
      <c r="D738" s="245"/>
      <c r="E738" s="245"/>
      <c r="F738" s="331"/>
      <c r="G738" s="245"/>
      <c r="H738" s="331"/>
      <c r="I738" s="245"/>
      <c r="J738" s="280"/>
      <c r="K738" s="120"/>
    </row>
    <row r="739" spans="1:11" ht="12.75">
      <c r="A739" s="244"/>
      <c r="B739" s="280"/>
      <c r="C739" s="244"/>
      <c r="D739" s="245"/>
      <c r="E739" s="245"/>
      <c r="F739" s="331"/>
      <c r="G739" s="245"/>
      <c r="H739" s="331"/>
      <c r="I739" s="245"/>
      <c r="J739" s="280"/>
      <c r="K739" s="120"/>
    </row>
    <row r="740" spans="1:11" ht="12.75">
      <c r="A740" s="244"/>
      <c r="B740" s="280"/>
      <c r="C740" s="244"/>
      <c r="D740" s="245"/>
      <c r="E740" s="245"/>
      <c r="F740" s="331"/>
      <c r="G740" s="245"/>
      <c r="H740" s="331"/>
      <c r="I740" s="245"/>
      <c r="J740" s="280"/>
      <c r="K740" s="120"/>
    </row>
    <row r="741" spans="1:11" ht="12.75">
      <c r="A741" s="244"/>
      <c r="B741" s="280"/>
      <c r="C741" s="244"/>
      <c r="D741" s="245"/>
      <c r="E741" s="245"/>
      <c r="F741" s="331"/>
      <c r="G741" s="245"/>
      <c r="H741" s="331"/>
      <c r="I741" s="245"/>
      <c r="J741" s="280"/>
      <c r="K741" s="120"/>
    </row>
    <row r="742" spans="1:11" ht="12.75">
      <c r="A742" s="244"/>
      <c r="B742" s="280"/>
      <c r="C742" s="244"/>
      <c r="D742" s="245"/>
      <c r="E742" s="245"/>
      <c r="F742" s="331"/>
      <c r="G742" s="245"/>
      <c r="H742" s="331"/>
      <c r="I742" s="245"/>
      <c r="J742" s="280"/>
      <c r="K742" s="120"/>
    </row>
    <row r="743" spans="1:11" ht="12.75">
      <c r="A743" s="244"/>
      <c r="B743" s="280"/>
      <c r="C743" s="244"/>
      <c r="D743" s="245"/>
      <c r="E743" s="245"/>
      <c r="F743" s="331"/>
      <c r="G743" s="245"/>
      <c r="H743" s="331"/>
      <c r="I743" s="245"/>
      <c r="J743" s="280"/>
      <c r="K743" s="120"/>
    </row>
    <row r="744" spans="1:11" ht="12.75">
      <c r="A744" s="244"/>
      <c r="B744" s="280"/>
      <c r="C744" s="244"/>
      <c r="D744" s="245"/>
      <c r="E744" s="245"/>
      <c r="F744" s="331"/>
      <c r="G744" s="245"/>
      <c r="H744" s="331"/>
      <c r="I744" s="245"/>
      <c r="J744" s="280"/>
      <c r="K744" s="120"/>
    </row>
    <row r="745" spans="1:11" ht="12.75">
      <c r="A745" s="230"/>
      <c r="B745" s="230"/>
      <c r="C745" s="230"/>
      <c r="D745" s="230"/>
      <c r="E745" s="230"/>
      <c r="F745" s="230"/>
      <c r="G745" s="230"/>
      <c r="H745" s="230"/>
      <c r="I745" s="270"/>
      <c r="J745" s="270"/>
      <c r="K745" s="18"/>
    </row>
    <row r="746" spans="1:10" ht="12.75">
      <c r="A746" s="230"/>
      <c r="B746" s="230"/>
      <c r="C746" s="230"/>
      <c r="D746" s="230"/>
      <c r="E746" s="230"/>
      <c r="F746" s="230"/>
      <c r="G746" s="230"/>
      <c r="H746" s="230"/>
      <c r="I746" s="230"/>
      <c r="J746" s="230"/>
    </row>
    <row r="747" spans="1:10" ht="12.75">
      <c r="A747" s="231" t="s">
        <v>203</v>
      </c>
      <c r="B747" s="231"/>
      <c r="C747" s="231"/>
      <c r="D747" s="278"/>
      <c r="E747" s="280"/>
      <c r="F747" s="336" t="s">
        <v>222</v>
      </c>
      <c r="G747" s="230"/>
      <c r="H747" s="230"/>
      <c r="I747" s="230"/>
      <c r="J747" s="230"/>
    </row>
    <row r="748" spans="1:11" ht="12.75">
      <c r="A748" s="247"/>
      <c r="B748" s="247"/>
      <c r="C748" s="278" t="s">
        <v>246</v>
      </c>
      <c r="D748" s="255"/>
      <c r="E748" s="255"/>
      <c r="F748" s="255"/>
      <c r="G748" s="255"/>
      <c r="H748" s="228"/>
      <c r="I748" s="228"/>
      <c r="J748" s="228"/>
      <c r="K748" s="27"/>
    </row>
    <row r="749" spans="1:10" ht="33.75">
      <c r="A749" s="232" t="s">
        <v>0</v>
      </c>
      <c r="B749" s="232" t="s">
        <v>208</v>
      </c>
      <c r="C749" s="232" t="s">
        <v>1</v>
      </c>
      <c r="D749" s="232" t="s">
        <v>5</v>
      </c>
      <c r="E749" s="333" t="s">
        <v>175</v>
      </c>
      <c r="F749" s="232" t="s">
        <v>170</v>
      </c>
      <c r="G749" s="230"/>
      <c r="H749" s="230"/>
      <c r="I749" s="230"/>
      <c r="J749" s="230"/>
    </row>
    <row r="750" spans="1:10" ht="12.75">
      <c r="A750" s="237">
        <v>74212101</v>
      </c>
      <c r="B750" s="239">
        <f>D750*100/14236152.35</f>
        <v>2.9732050458142223</v>
      </c>
      <c r="C750" s="237" t="s">
        <v>140</v>
      </c>
      <c r="D750" s="238">
        <v>423270</v>
      </c>
      <c r="E750" s="239"/>
      <c r="F750" s="239"/>
      <c r="G750" s="230"/>
      <c r="H750" s="230"/>
      <c r="I750" s="230"/>
      <c r="J750" s="230"/>
    </row>
    <row r="751" spans="1:10" ht="12.75">
      <c r="A751" s="237">
        <v>74212102</v>
      </c>
      <c r="B751" s="239">
        <f aca="true" t="shared" si="22" ref="B751:B761">D751*100/14236152.35</f>
        <v>24.635220555222563</v>
      </c>
      <c r="C751" s="237" t="s">
        <v>142</v>
      </c>
      <c r="D751" s="238">
        <v>3507107.53</v>
      </c>
      <c r="E751" s="239"/>
      <c r="F751" s="239"/>
      <c r="G751" s="230"/>
      <c r="H751" s="230"/>
      <c r="I751" s="230"/>
      <c r="J751" s="230"/>
    </row>
    <row r="752" spans="1:10" ht="12.75">
      <c r="A752" s="237">
        <v>74212111</v>
      </c>
      <c r="B752" s="239">
        <f t="shared" si="22"/>
        <v>0.795699197473115</v>
      </c>
      <c r="C752" s="237" t="s">
        <v>141</v>
      </c>
      <c r="D752" s="238">
        <v>113276.95</v>
      </c>
      <c r="E752" s="239"/>
      <c r="F752" s="239"/>
      <c r="G752" s="230"/>
      <c r="H752" s="230"/>
      <c r="I752" s="230"/>
      <c r="J752" s="230"/>
    </row>
    <row r="753" spans="1:10" ht="12.75">
      <c r="A753" s="237">
        <v>74212112</v>
      </c>
      <c r="B753" s="239">
        <f t="shared" si="22"/>
        <v>0.8266563682847915</v>
      </c>
      <c r="C753" s="237" t="s">
        <v>143</v>
      </c>
      <c r="D753" s="238">
        <v>117684.06</v>
      </c>
      <c r="E753" s="239"/>
      <c r="F753" s="239"/>
      <c r="G753" s="230"/>
      <c r="H753" s="230"/>
      <c r="I753" s="230"/>
      <c r="J753" s="230"/>
    </row>
    <row r="754" spans="1:10" ht="12.75">
      <c r="A754" s="237"/>
      <c r="B754" s="239">
        <f t="shared" si="22"/>
        <v>29.230781166794692</v>
      </c>
      <c r="C754" s="240" t="s">
        <v>213</v>
      </c>
      <c r="D754" s="241">
        <f>SUM(D750:D753)</f>
        <v>4161338.54</v>
      </c>
      <c r="E754" s="256"/>
      <c r="F754" s="256"/>
      <c r="G754" s="230"/>
      <c r="H754" s="230"/>
      <c r="I754" s="230"/>
      <c r="J754" s="230"/>
    </row>
    <row r="755" spans="1:10" ht="12.75">
      <c r="A755" s="237">
        <v>7421216</v>
      </c>
      <c r="B755" s="239">
        <f t="shared" si="22"/>
        <v>1.1185967674755886</v>
      </c>
      <c r="C755" s="237" t="s">
        <v>215</v>
      </c>
      <c r="D755" s="238">
        <v>159245.14</v>
      </c>
      <c r="E755" s="239"/>
      <c r="F755" s="239"/>
      <c r="G755" s="230"/>
      <c r="H755" s="230"/>
      <c r="I755" s="230"/>
      <c r="J755" s="230"/>
    </row>
    <row r="756" spans="1:10" ht="12.75">
      <c r="A756" s="237">
        <v>7421217</v>
      </c>
      <c r="B756" s="239">
        <f t="shared" si="22"/>
        <v>69.06459644624412</v>
      </c>
      <c r="C756" s="237" t="s">
        <v>146</v>
      </c>
      <c r="D756" s="238">
        <v>9832141.17</v>
      </c>
      <c r="E756" s="239"/>
      <c r="F756" s="239"/>
      <c r="G756" s="230"/>
      <c r="H756" s="230"/>
      <c r="I756" s="230"/>
      <c r="J756" s="230"/>
    </row>
    <row r="757" spans="1:10" ht="12.75">
      <c r="A757" s="237">
        <v>742161</v>
      </c>
      <c r="B757" s="239">
        <f t="shared" si="22"/>
        <v>0.5443556523894604</v>
      </c>
      <c r="C757" s="237" t="s">
        <v>148</v>
      </c>
      <c r="D757" s="238">
        <v>77495.3</v>
      </c>
      <c r="E757" s="239"/>
      <c r="F757" s="239"/>
      <c r="G757" s="230"/>
      <c r="H757" s="230"/>
      <c r="I757" s="230"/>
      <c r="J757" s="230"/>
    </row>
    <row r="758" spans="1:10" ht="12.75">
      <c r="A758" s="240">
        <v>7421</v>
      </c>
      <c r="B758" s="239">
        <f t="shared" si="22"/>
        <v>70.72754886610919</v>
      </c>
      <c r="C758" s="240" t="s">
        <v>149</v>
      </c>
      <c r="D758" s="241">
        <f>SUM(D755:D757)</f>
        <v>10068881.610000001</v>
      </c>
      <c r="E758" s="239"/>
      <c r="F758" s="239"/>
      <c r="G758" s="230"/>
      <c r="H758" s="230"/>
      <c r="I758" s="230"/>
      <c r="J758" s="230"/>
    </row>
    <row r="759" spans="1:10" ht="12.75">
      <c r="A759" s="237">
        <v>7451611</v>
      </c>
      <c r="B759" s="239">
        <f t="shared" si="22"/>
        <v>0.04166996709613044</v>
      </c>
      <c r="C759" s="237" t="s">
        <v>150</v>
      </c>
      <c r="D759" s="238">
        <v>5932.2</v>
      </c>
      <c r="E759" s="239"/>
      <c r="F759" s="239"/>
      <c r="G759" s="230"/>
      <c r="H759" s="230"/>
      <c r="I759" s="230"/>
      <c r="J759" s="230"/>
    </row>
    <row r="760" spans="1:10" ht="12.75">
      <c r="A760" s="240">
        <v>7451</v>
      </c>
      <c r="B760" s="239">
        <f t="shared" si="22"/>
        <v>0.04166996709613044</v>
      </c>
      <c r="C760" s="240" t="s">
        <v>151</v>
      </c>
      <c r="D760" s="241">
        <f>SUM(D759)</f>
        <v>5932.2</v>
      </c>
      <c r="E760" s="256"/>
      <c r="F760" s="256"/>
      <c r="G760" s="230"/>
      <c r="H760" s="230"/>
      <c r="I760" s="230"/>
      <c r="J760" s="230"/>
    </row>
    <row r="761" spans="1:10" ht="12.75">
      <c r="A761" s="237"/>
      <c r="B761" s="239">
        <f t="shared" si="22"/>
        <v>100.00000000000001</v>
      </c>
      <c r="C761" s="240" t="s">
        <v>219</v>
      </c>
      <c r="D761" s="241">
        <f>D754+D758+D760</f>
        <v>14236152.350000001</v>
      </c>
      <c r="E761" s="256">
        <v>23920000</v>
      </c>
      <c r="F761" s="256">
        <f>D761*100/E761</f>
        <v>59.51568708193981</v>
      </c>
      <c r="G761" s="230"/>
      <c r="H761" s="230"/>
      <c r="I761" s="230"/>
      <c r="J761" s="230"/>
    </row>
    <row r="762" spans="1:10" ht="12.75">
      <c r="A762" s="237">
        <v>74212103</v>
      </c>
      <c r="B762" s="239">
        <f>D762*100/1577468.73</f>
        <v>68.08185668441111</v>
      </c>
      <c r="C762" s="237" t="s">
        <v>139</v>
      </c>
      <c r="D762" s="238">
        <v>1073970</v>
      </c>
      <c r="E762" s="239"/>
      <c r="F762" s="256"/>
      <c r="G762" s="230"/>
      <c r="H762" s="230"/>
      <c r="I762" s="230"/>
      <c r="J762" s="230"/>
    </row>
    <row r="763" spans="1:10" ht="12.75">
      <c r="A763" s="237">
        <v>74212113</v>
      </c>
      <c r="B763" s="239">
        <f>D763*100/1577468.73</f>
        <v>7.068285911442441</v>
      </c>
      <c r="C763" s="237" t="s">
        <v>144</v>
      </c>
      <c r="D763" s="238">
        <v>111500</v>
      </c>
      <c r="E763" s="239"/>
      <c r="F763" s="256"/>
      <c r="G763" s="230"/>
      <c r="H763" s="230"/>
      <c r="I763" s="230"/>
      <c r="J763" s="230"/>
    </row>
    <row r="764" spans="1:10" ht="12.75">
      <c r="A764" s="237">
        <v>74212171</v>
      </c>
      <c r="B764" s="239">
        <f>D764*100/1577468.73</f>
        <v>24.84985740414645</v>
      </c>
      <c r="C764" s="237" t="s">
        <v>147</v>
      </c>
      <c r="D764" s="238">
        <v>391998.73</v>
      </c>
      <c r="E764" s="239"/>
      <c r="F764" s="256"/>
      <c r="G764" s="230"/>
      <c r="H764" s="230"/>
      <c r="I764" s="230"/>
      <c r="J764" s="230"/>
    </row>
    <row r="765" spans="1:10" ht="12.75">
      <c r="A765" s="237"/>
      <c r="B765" s="337">
        <f>SUM(B762:B764)</f>
        <v>100</v>
      </c>
      <c r="C765" s="240" t="s">
        <v>214</v>
      </c>
      <c r="D765" s="241">
        <f>SUM(D762:D764)</f>
        <v>1577468.73</v>
      </c>
      <c r="E765" s="256">
        <v>4620000</v>
      </c>
      <c r="F765" s="256">
        <f aca="true" t="shared" si="23" ref="F765:F770">D765*100/E765</f>
        <v>34.144344805194805</v>
      </c>
      <c r="G765" s="230"/>
      <c r="H765" s="230"/>
      <c r="I765" s="230"/>
      <c r="J765" s="230"/>
    </row>
    <row r="766" spans="1:10" ht="12.75">
      <c r="A766" s="230"/>
      <c r="B766" s="230"/>
      <c r="C766" s="240" t="s">
        <v>216</v>
      </c>
      <c r="D766" s="241">
        <f>D761+D765</f>
        <v>15813621.080000002</v>
      </c>
      <c r="E766" s="256">
        <f>SUM(E750:E765)</f>
        <v>28540000</v>
      </c>
      <c r="F766" s="256">
        <f t="shared" si="23"/>
        <v>55.40862326559216</v>
      </c>
      <c r="G766" s="230"/>
      <c r="H766" s="230"/>
      <c r="I766" s="230"/>
      <c r="J766" s="230"/>
    </row>
    <row r="767" spans="1:10" ht="12.75">
      <c r="A767" s="230"/>
      <c r="B767" s="230"/>
      <c r="C767" s="240" t="s">
        <v>217</v>
      </c>
      <c r="D767" s="239"/>
      <c r="E767" s="239"/>
      <c r="F767" s="256"/>
      <c r="G767" s="230"/>
      <c r="H767" s="230"/>
      <c r="I767" s="230"/>
      <c r="J767" s="230"/>
    </row>
    <row r="768" spans="1:10" ht="12.75">
      <c r="A768" s="230"/>
      <c r="B768" s="230"/>
      <c r="C768" s="240" t="s">
        <v>190</v>
      </c>
      <c r="D768" s="239">
        <v>3650554.28</v>
      </c>
      <c r="E768" s="239">
        <v>4000000</v>
      </c>
      <c r="F768" s="256">
        <f t="shared" si="23"/>
        <v>91.263857</v>
      </c>
      <c r="G768" s="230"/>
      <c r="H768" s="230"/>
      <c r="I768" s="230"/>
      <c r="J768" s="230"/>
    </row>
    <row r="769" spans="1:10" ht="12.75">
      <c r="A769" s="230"/>
      <c r="B769" s="230"/>
      <c r="C769" s="240" t="s">
        <v>191</v>
      </c>
      <c r="D769" s="239">
        <v>1437000</v>
      </c>
      <c r="E769" s="239">
        <v>1437000</v>
      </c>
      <c r="F769" s="256">
        <f t="shared" si="23"/>
        <v>100</v>
      </c>
      <c r="G769" s="230"/>
      <c r="H769" s="230"/>
      <c r="I769" s="230"/>
      <c r="J769" s="230"/>
    </row>
    <row r="770" spans="1:10" ht="12.75">
      <c r="A770" s="230"/>
      <c r="B770" s="230"/>
      <c r="C770" s="240" t="s">
        <v>218</v>
      </c>
      <c r="D770" s="239">
        <f>SUM(D766:D769)</f>
        <v>20901175.360000003</v>
      </c>
      <c r="E770" s="239">
        <f>SUM(E766:E769)</f>
        <v>33977000</v>
      </c>
      <c r="F770" s="256">
        <f t="shared" si="23"/>
        <v>61.51565871030404</v>
      </c>
      <c r="G770" s="230"/>
      <c r="H770" s="230"/>
      <c r="I770" s="230"/>
      <c r="J770" s="230"/>
    </row>
    <row r="771" spans="1:10" ht="12.75">
      <c r="A771" s="230"/>
      <c r="B771" s="230"/>
      <c r="C771" s="230"/>
      <c r="D771" s="230"/>
      <c r="E771" s="338"/>
      <c r="F771" s="230"/>
      <c r="G771" s="230"/>
      <c r="H771" s="230"/>
      <c r="I771" s="230"/>
      <c r="J771" s="230"/>
    </row>
    <row r="772" spans="1:10" ht="12.75">
      <c r="A772" s="230"/>
      <c r="B772" s="230"/>
      <c r="C772" s="230"/>
      <c r="D772" s="230"/>
      <c r="E772" s="230"/>
      <c r="F772" s="230"/>
      <c r="G772" s="230"/>
      <c r="H772" s="230"/>
      <c r="I772" s="230"/>
      <c r="J772" s="230"/>
    </row>
    <row r="773" spans="1:10" ht="12.75">
      <c r="A773" s="231" t="s">
        <v>240</v>
      </c>
      <c r="B773" s="231"/>
      <c r="C773" s="231"/>
      <c r="D773" s="278"/>
      <c r="E773" s="280"/>
      <c r="F773" s="230"/>
      <c r="G773" s="230"/>
      <c r="H773" s="230"/>
      <c r="I773" s="230"/>
      <c r="J773" s="230"/>
    </row>
    <row r="774" spans="1:10" ht="12.75">
      <c r="A774" s="278" t="s">
        <v>231</v>
      </c>
      <c r="B774" s="278"/>
      <c r="C774" s="278"/>
      <c r="D774" s="255"/>
      <c r="E774" s="255"/>
      <c r="F774" s="230"/>
      <c r="G774" s="230"/>
      <c r="H774" s="336" t="s">
        <v>233</v>
      </c>
      <c r="I774" s="230"/>
      <c r="J774" s="230"/>
    </row>
    <row r="775" spans="1:10" ht="33.75">
      <c r="A775" s="232" t="s">
        <v>0</v>
      </c>
      <c r="B775" s="232" t="s">
        <v>208</v>
      </c>
      <c r="C775" s="232" t="s">
        <v>1</v>
      </c>
      <c r="D775" s="232" t="s">
        <v>2</v>
      </c>
      <c r="E775" s="232" t="s">
        <v>3</v>
      </c>
      <c r="F775" s="233" t="s">
        <v>4</v>
      </c>
      <c r="G775" s="232" t="s">
        <v>5</v>
      </c>
      <c r="H775" s="232" t="s">
        <v>175</v>
      </c>
      <c r="I775" s="232" t="s">
        <v>170</v>
      </c>
      <c r="J775" s="230"/>
    </row>
    <row r="776" spans="1:10" ht="12.75">
      <c r="A776" s="325">
        <v>781111013</v>
      </c>
      <c r="B776" s="251"/>
      <c r="C776" s="237" t="s">
        <v>161</v>
      </c>
      <c r="D776" s="239">
        <f aca="true" t="shared" si="24" ref="D776:D781">E776+F776+G776</f>
        <v>11846910.64</v>
      </c>
      <c r="E776" s="239">
        <v>11846910.64</v>
      </c>
      <c r="F776" s="239"/>
      <c r="G776" s="239"/>
      <c r="H776" s="239">
        <v>28900000</v>
      </c>
      <c r="I776" s="239">
        <f>D776*100/H776</f>
        <v>40.99277038062284</v>
      </c>
      <c r="J776" s="230"/>
    </row>
    <row r="777" spans="1:10" ht="12.75">
      <c r="A777" s="325">
        <v>7811110502</v>
      </c>
      <c r="B777" s="251"/>
      <c r="C777" s="237" t="s">
        <v>211</v>
      </c>
      <c r="D777" s="239">
        <f t="shared" si="24"/>
        <v>56070</v>
      </c>
      <c r="E777" s="239"/>
      <c r="F777" s="239">
        <v>56070</v>
      </c>
      <c r="G777" s="239"/>
      <c r="H777" s="239">
        <v>134000</v>
      </c>
      <c r="I777" s="239">
        <f>D777*100/H777</f>
        <v>41.843283582089555</v>
      </c>
      <c r="J777" s="230"/>
    </row>
    <row r="778" spans="1:10" ht="12.75">
      <c r="A778" s="237">
        <v>74212103</v>
      </c>
      <c r="B778" s="239"/>
      <c r="C778" s="237" t="s">
        <v>139</v>
      </c>
      <c r="D778" s="239">
        <f t="shared" si="24"/>
        <v>1073970</v>
      </c>
      <c r="E778" s="239"/>
      <c r="F778" s="239"/>
      <c r="G778" s="239">
        <v>1073970</v>
      </c>
      <c r="H778" s="239"/>
      <c r="I778" s="239"/>
      <c r="J778" s="230"/>
    </row>
    <row r="779" spans="1:10" ht="12.75">
      <c r="A779" s="237">
        <v>74212113</v>
      </c>
      <c r="B779" s="239"/>
      <c r="C779" s="237" t="s">
        <v>144</v>
      </c>
      <c r="D779" s="239">
        <f t="shared" si="24"/>
        <v>111500</v>
      </c>
      <c r="E779" s="239"/>
      <c r="F779" s="239"/>
      <c r="G779" s="239">
        <v>111500</v>
      </c>
      <c r="H779" s="239"/>
      <c r="I779" s="239"/>
      <c r="J779" s="230"/>
    </row>
    <row r="780" spans="1:10" ht="12.75">
      <c r="A780" s="237">
        <v>74212171</v>
      </c>
      <c r="B780" s="239"/>
      <c r="C780" s="237" t="s">
        <v>147</v>
      </c>
      <c r="D780" s="239">
        <f t="shared" si="24"/>
        <v>391998.73</v>
      </c>
      <c r="E780" s="239"/>
      <c r="F780" s="239"/>
      <c r="G780" s="239">
        <v>391998.73</v>
      </c>
      <c r="H780" s="239"/>
      <c r="I780" s="239"/>
      <c r="J780" s="230"/>
    </row>
    <row r="781" spans="1:10" ht="12.75">
      <c r="A781" s="237"/>
      <c r="B781" s="239"/>
      <c r="C781" s="237" t="s">
        <v>232</v>
      </c>
      <c r="D781" s="239">
        <f t="shared" si="24"/>
        <v>1577468.73</v>
      </c>
      <c r="E781" s="239"/>
      <c r="F781" s="239"/>
      <c r="G781" s="239">
        <f>SUM(G778:G780)</f>
        <v>1577468.73</v>
      </c>
      <c r="H781" s="239">
        <v>4620000</v>
      </c>
      <c r="I781" s="239">
        <f>D781*100/H781</f>
        <v>34.144344805194805</v>
      </c>
      <c r="J781" s="230"/>
    </row>
    <row r="782" spans="1:10" ht="12.75">
      <c r="A782" s="272"/>
      <c r="B782" s="272"/>
      <c r="C782" s="257" t="s">
        <v>2</v>
      </c>
      <c r="D782" s="242">
        <f>D776+D777+D781</f>
        <v>13480449.370000001</v>
      </c>
      <c r="E782" s="242">
        <f>E776+E777+E781</f>
        <v>11846910.64</v>
      </c>
      <c r="F782" s="242">
        <f>F776+F777+F781</f>
        <v>56070</v>
      </c>
      <c r="G782" s="242">
        <f>G776+G777+G781</f>
        <v>1577468.73</v>
      </c>
      <c r="H782" s="242">
        <f>H776+H777+H781</f>
        <v>33654000</v>
      </c>
      <c r="I782" s="242">
        <f>D782*100/H782</f>
        <v>40.05600930052891</v>
      </c>
      <c r="J782" s="230"/>
    </row>
    <row r="783" spans="1:10" ht="12.75">
      <c r="A783" s="230"/>
      <c r="B783" s="230"/>
      <c r="C783" s="230"/>
      <c r="D783" s="230"/>
      <c r="E783" s="230"/>
      <c r="F783" s="230"/>
      <c r="G783" s="230"/>
      <c r="H783" s="230"/>
      <c r="I783" s="230"/>
      <c r="J783" s="230"/>
    </row>
    <row r="784" spans="1:10" ht="12.75">
      <c r="A784" s="231" t="s">
        <v>241</v>
      </c>
      <c r="B784" s="231"/>
      <c r="C784" s="231"/>
      <c r="D784" s="278"/>
      <c r="E784" s="280"/>
      <c r="F784" s="230"/>
      <c r="G784" s="230"/>
      <c r="H784" s="230"/>
      <c r="I784" s="230"/>
      <c r="J784" s="230"/>
    </row>
    <row r="785" spans="1:10" ht="12.75">
      <c r="A785" s="278" t="s">
        <v>231</v>
      </c>
      <c r="B785" s="278"/>
      <c r="C785" s="278"/>
      <c r="D785" s="255"/>
      <c r="E785" s="255"/>
      <c r="F785" s="231" t="s">
        <v>245</v>
      </c>
      <c r="G785" s="230"/>
      <c r="H785" s="280"/>
      <c r="I785" s="270"/>
      <c r="J785" s="230"/>
    </row>
    <row r="786" spans="1:10" ht="22.5">
      <c r="A786" s="232" t="s">
        <v>0</v>
      </c>
      <c r="B786" s="232" t="s">
        <v>208</v>
      </c>
      <c r="C786" s="232" t="s">
        <v>1</v>
      </c>
      <c r="D786" s="232" t="s">
        <v>2</v>
      </c>
      <c r="E786" s="232" t="s">
        <v>3</v>
      </c>
      <c r="F786" s="232" t="s">
        <v>5</v>
      </c>
      <c r="G786" s="230"/>
      <c r="H786" s="279"/>
      <c r="I786" s="279"/>
      <c r="J786" s="230"/>
    </row>
    <row r="787" spans="1:10" ht="12.75">
      <c r="A787" s="237">
        <v>411111</v>
      </c>
      <c r="B787" s="239"/>
      <c r="C787" s="237" t="s">
        <v>8</v>
      </c>
      <c r="D787" s="239">
        <f>E787+F787</f>
        <v>8137679.47</v>
      </c>
      <c r="E787" s="239">
        <v>6931673.84</v>
      </c>
      <c r="F787" s="239">
        <v>1206005.63</v>
      </c>
      <c r="G787" s="230"/>
      <c r="H787" s="246"/>
      <c r="I787" s="246"/>
      <c r="J787" s="230"/>
    </row>
    <row r="788" spans="1:10" ht="12.75">
      <c r="A788" s="237">
        <v>411112</v>
      </c>
      <c r="B788" s="239"/>
      <c r="C788" s="237" t="s">
        <v>93</v>
      </c>
      <c r="D788" s="239">
        <f aca="true" t="shared" si="25" ref="D788:D810">E788+F788</f>
        <v>5828.1</v>
      </c>
      <c r="E788" s="239">
        <v>5828.1</v>
      </c>
      <c r="F788" s="239"/>
      <c r="G788" s="230"/>
      <c r="H788" s="246"/>
      <c r="I788" s="246"/>
      <c r="J788" s="230"/>
    </row>
    <row r="789" spans="1:10" ht="12.75">
      <c r="A789" s="237">
        <v>411113</v>
      </c>
      <c r="B789" s="239"/>
      <c r="C789" s="237" t="s">
        <v>9</v>
      </c>
      <c r="D789" s="239">
        <f t="shared" si="25"/>
        <v>24320.82</v>
      </c>
      <c r="E789" s="239">
        <v>24320.82</v>
      </c>
      <c r="F789" s="239"/>
      <c r="G789" s="230"/>
      <c r="H789" s="246"/>
      <c r="I789" s="246"/>
      <c r="J789" s="230"/>
    </row>
    <row r="790" spans="1:10" ht="12.75">
      <c r="A790" s="237">
        <v>411115</v>
      </c>
      <c r="B790" s="239"/>
      <c r="C790" s="237" t="s">
        <v>11</v>
      </c>
      <c r="D790" s="239">
        <f t="shared" si="25"/>
        <v>690044.16</v>
      </c>
      <c r="E790" s="239">
        <v>690044.16</v>
      </c>
      <c r="F790" s="239"/>
      <c r="G790" s="230"/>
      <c r="H790" s="246"/>
      <c r="I790" s="246"/>
      <c r="J790" s="230"/>
    </row>
    <row r="791" spans="1:10" ht="12.75">
      <c r="A791" s="237">
        <v>411117</v>
      </c>
      <c r="B791" s="239"/>
      <c r="C791" s="237" t="s">
        <v>12</v>
      </c>
      <c r="D791" s="239">
        <f t="shared" si="25"/>
        <v>94815.53</v>
      </c>
      <c r="E791" s="239">
        <v>94815.53</v>
      </c>
      <c r="F791" s="239"/>
      <c r="G791" s="230"/>
      <c r="H791" s="246"/>
      <c r="I791" s="246"/>
      <c r="J791" s="230"/>
    </row>
    <row r="792" spans="1:10" ht="12.75">
      <c r="A792" s="240">
        <v>4111</v>
      </c>
      <c r="B792" s="256"/>
      <c r="C792" s="240" t="s">
        <v>92</v>
      </c>
      <c r="D792" s="242">
        <f t="shared" si="25"/>
        <v>8952688.08</v>
      </c>
      <c r="E792" s="242">
        <f>SUM(E787:E791)</f>
        <v>7746682.45</v>
      </c>
      <c r="F792" s="242">
        <f>SUM(F787:F791)</f>
        <v>1206005.63</v>
      </c>
      <c r="G792" s="230"/>
      <c r="H792" s="280"/>
      <c r="I792" s="280"/>
      <c r="J792" s="230"/>
    </row>
    <row r="793" spans="1:10" ht="12.75">
      <c r="A793" s="237">
        <v>412111</v>
      </c>
      <c r="B793" s="239"/>
      <c r="C793" s="237" t="s">
        <v>13</v>
      </c>
      <c r="D793" s="239">
        <f t="shared" si="25"/>
        <v>986693.52</v>
      </c>
      <c r="E793" s="239">
        <v>852461.92</v>
      </c>
      <c r="F793" s="239">
        <v>134231.6</v>
      </c>
      <c r="G793" s="230"/>
      <c r="H793" s="246"/>
      <c r="I793" s="246"/>
      <c r="J793" s="230"/>
    </row>
    <row r="794" spans="1:10" ht="12.75">
      <c r="A794" s="240">
        <v>4121</v>
      </c>
      <c r="B794" s="256"/>
      <c r="C794" s="257" t="s">
        <v>94</v>
      </c>
      <c r="D794" s="242">
        <f t="shared" si="25"/>
        <v>986693.52</v>
      </c>
      <c r="E794" s="242">
        <f>SUM(E793)</f>
        <v>852461.92</v>
      </c>
      <c r="F794" s="242">
        <f>SUM(F793)</f>
        <v>134231.6</v>
      </c>
      <c r="G794" s="230"/>
      <c r="H794" s="280"/>
      <c r="I794" s="280"/>
      <c r="J794" s="230"/>
    </row>
    <row r="795" spans="1:10" ht="12.75">
      <c r="A795" s="237">
        <v>412211</v>
      </c>
      <c r="B795" s="239"/>
      <c r="C795" s="237" t="s">
        <v>14</v>
      </c>
      <c r="D795" s="239">
        <f t="shared" si="25"/>
        <v>551651.38</v>
      </c>
      <c r="E795" s="239">
        <v>476603.72</v>
      </c>
      <c r="F795" s="239">
        <v>75047.66</v>
      </c>
      <c r="G795" s="230"/>
      <c r="H795" s="246"/>
      <c r="I795" s="246"/>
      <c r="J795" s="230"/>
    </row>
    <row r="796" spans="1:10" ht="12.75">
      <c r="A796" s="240">
        <v>4122</v>
      </c>
      <c r="B796" s="256"/>
      <c r="C796" s="240" t="s">
        <v>14</v>
      </c>
      <c r="D796" s="242">
        <f t="shared" si="25"/>
        <v>551651.38</v>
      </c>
      <c r="E796" s="242">
        <f>SUM(E795)</f>
        <v>476603.72</v>
      </c>
      <c r="F796" s="242">
        <f>SUM(F795)</f>
        <v>75047.66</v>
      </c>
      <c r="G796" s="230"/>
      <c r="H796" s="280"/>
      <c r="I796" s="280"/>
      <c r="J796" s="230"/>
    </row>
    <row r="797" spans="1:10" ht="12.75">
      <c r="A797" s="237">
        <v>412311</v>
      </c>
      <c r="B797" s="239"/>
      <c r="C797" s="237" t="s">
        <v>95</v>
      </c>
      <c r="D797" s="239">
        <f t="shared" si="25"/>
        <v>67274.55</v>
      </c>
      <c r="E797" s="239">
        <v>58122.4</v>
      </c>
      <c r="F797" s="239">
        <v>9152.15</v>
      </c>
      <c r="G797" s="230"/>
      <c r="H797" s="246"/>
      <c r="I797" s="246"/>
      <c r="J797" s="230"/>
    </row>
    <row r="798" spans="1:10" ht="12.75">
      <c r="A798" s="240">
        <v>4123</v>
      </c>
      <c r="B798" s="256"/>
      <c r="C798" s="240" t="s">
        <v>96</v>
      </c>
      <c r="D798" s="242">
        <f t="shared" si="25"/>
        <v>67274.55</v>
      </c>
      <c r="E798" s="242">
        <f>SUM(E797)</f>
        <v>58122.4</v>
      </c>
      <c r="F798" s="242">
        <f>SUM(F797)</f>
        <v>9152.15</v>
      </c>
      <c r="G798" s="230"/>
      <c r="H798" s="280"/>
      <c r="I798" s="280"/>
      <c r="J798" s="230"/>
    </row>
    <row r="799" spans="1:10" ht="12.75">
      <c r="A799" s="257"/>
      <c r="B799" s="242">
        <f>D799*100/D810</f>
        <v>94.96373024073182</v>
      </c>
      <c r="C799" s="257" t="s">
        <v>174</v>
      </c>
      <c r="D799" s="242">
        <f t="shared" si="25"/>
        <v>10558307.530000001</v>
      </c>
      <c r="E799" s="242">
        <f>E792+E794+E796+E798</f>
        <v>9133870.490000002</v>
      </c>
      <c r="F799" s="242">
        <f>F792+F794+F796+F798</f>
        <v>1424437.0399999998</v>
      </c>
      <c r="G799" s="230"/>
      <c r="H799" s="280"/>
      <c r="I799" s="280"/>
      <c r="J799" s="230"/>
    </row>
    <row r="800" spans="1:10" ht="12.75">
      <c r="A800" s="237">
        <v>415112</v>
      </c>
      <c r="B800" s="239"/>
      <c r="C800" s="237" t="s">
        <v>21</v>
      </c>
      <c r="D800" s="239">
        <f t="shared" si="25"/>
        <v>94533.54</v>
      </c>
      <c r="E800" s="239">
        <v>94533.54</v>
      </c>
      <c r="F800" s="239"/>
      <c r="G800" s="230"/>
      <c r="H800" s="246"/>
      <c r="I800" s="246"/>
      <c r="J800" s="230"/>
    </row>
    <row r="801" spans="1:10" ht="12.75">
      <c r="A801" s="240">
        <v>4131</v>
      </c>
      <c r="B801" s="256">
        <f>D801*100/D810</f>
        <v>0.8502553620221582</v>
      </c>
      <c r="C801" s="240" t="s">
        <v>178</v>
      </c>
      <c r="D801" s="242">
        <f t="shared" si="25"/>
        <v>94533.54</v>
      </c>
      <c r="E801" s="242">
        <f>SUM(E800)</f>
        <v>94533.54</v>
      </c>
      <c r="F801" s="242"/>
      <c r="G801" s="230"/>
      <c r="H801" s="280"/>
      <c r="I801" s="280"/>
      <c r="J801" s="230"/>
    </row>
    <row r="802" spans="1:10" ht="12.75">
      <c r="A802" s="240"/>
      <c r="B802" s="256">
        <f>D802*100/D810</f>
        <v>2.9217014389634226</v>
      </c>
      <c r="C802" s="240" t="s">
        <v>179</v>
      </c>
      <c r="D802" s="242">
        <f t="shared" si="25"/>
        <v>324842.15</v>
      </c>
      <c r="E802" s="242">
        <f>E803+E804+E805+E806+E807</f>
        <v>0</v>
      </c>
      <c r="F802" s="242">
        <f>F803+F804+F805+F806+F807</f>
        <v>324842.15</v>
      </c>
      <c r="G802" s="230"/>
      <c r="H802" s="280"/>
      <c r="I802" s="280"/>
      <c r="J802" s="230"/>
    </row>
    <row r="803" spans="1:10" ht="12.75">
      <c r="A803" s="237">
        <v>414311</v>
      </c>
      <c r="B803" s="239"/>
      <c r="C803" s="237" t="s">
        <v>19</v>
      </c>
      <c r="D803" s="239">
        <f t="shared" si="25"/>
        <v>163848</v>
      </c>
      <c r="E803" s="239"/>
      <c r="F803" s="239">
        <v>163848</v>
      </c>
      <c r="G803" s="230"/>
      <c r="H803" s="246"/>
      <c r="I803" s="246"/>
      <c r="J803" s="230"/>
    </row>
    <row r="804" spans="1:10" ht="12.75">
      <c r="A804" s="237">
        <v>414314</v>
      </c>
      <c r="B804" s="239"/>
      <c r="C804" s="237" t="s">
        <v>20</v>
      </c>
      <c r="D804" s="239">
        <f t="shared" si="25"/>
        <v>45594</v>
      </c>
      <c r="E804" s="239"/>
      <c r="F804" s="239">
        <v>45594</v>
      </c>
      <c r="G804" s="230"/>
      <c r="H804" s="246"/>
      <c r="I804" s="246"/>
      <c r="J804" s="230"/>
    </row>
    <row r="805" spans="1:10" ht="12.75">
      <c r="A805" s="237">
        <v>422121</v>
      </c>
      <c r="B805" s="239"/>
      <c r="C805" s="237" t="s">
        <v>242</v>
      </c>
      <c r="D805" s="239">
        <f t="shared" si="25"/>
        <v>2200</v>
      </c>
      <c r="E805" s="239"/>
      <c r="F805" s="239">
        <v>2200</v>
      </c>
      <c r="G805" s="230"/>
      <c r="H805" s="246"/>
      <c r="I805" s="246"/>
      <c r="J805" s="230"/>
    </row>
    <row r="806" spans="1:10" ht="12.75">
      <c r="A806" s="237">
        <v>4233910</v>
      </c>
      <c r="B806" s="239"/>
      <c r="C806" s="237" t="s">
        <v>130</v>
      </c>
      <c r="D806" s="239">
        <f t="shared" si="25"/>
        <v>7162.15</v>
      </c>
      <c r="E806" s="239"/>
      <c r="F806" s="239">
        <v>7162.15</v>
      </c>
      <c r="G806" s="230"/>
      <c r="H806" s="246"/>
      <c r="I806" s="246"/>
      <c r="J806" s="230"/>
    </row>
    <row r="807" spans="1:10" ht="12.75">
      <c r="A807" s="237">
        <v>425251</v>
      </c>
      <c r="B807" s="239"/>
      <c r="C807" s="237" t="s">
        <v>59</v>
      </c>
      <c r="D807" s="239">
        <f t="shared" si="25"/>
        <v>106038</v>
      </c>
      <c r="E807" s="239"/>
      <c r="F807" s="239">
        <v>106038</v>
      </c>
      <c r="G807" s="230"/>
      <c r="H807" s="246"/>
      <c r="I807" s="246"/>
      <c r="J807" s="230"/>
    </row>
    <row r="808" spans="1:10" ht="12.75">
      <c r="A808" s="257"/>
      <c r="B808" s="242">
        <f>D808*100/D810</f>
        <v>1.2643129582826096</v>
      </c>
      <c r="C808" s="257" t="s">
        <v>182</v>
      </c>
      <c r="D808" s="242">
        <f t="shared" si="25"/>
        <v>140569.51</v>
      </c>
      <c r="E808" s="242">
        <f>E809</f>
        <v>0</v>
      </c>
      <c r="F808" s="242">
        <f>F809</f>
        <v>140569.51</v>
      </c>
      <c r="G808" s="230"/>
      <c r="H808" s="280"/>
      <c r="I808" s="280"/>
      <c r="J808" s="230"/>
    </row>
    <row r="809" spans="1:10" ht="12.75">
      <c r="A809" s="237">
        <v>4267113</v>
      </c>
      <c r="B809" s="239"/>
      <c r="C809" s="237" t="s">
        <v>72</v>
      </c>
      <c r="D809" s="239">
        <f t="shared" si="25"/>
        <v>140569.51</v>
      </c>
      <c r="E809" s="239"/>
      <c r="F809" s="239">
        <v>140569.51</v>
      </c>
      <c r="G809" s="230"/>
      <c r="H809" s="246"/>
      <c r="I809" s="246"/>
      <c r="J809" s="230"/>
    </row>
    <row r="810" spans="1:10" ht="12.75">
      <c r="A810" s="257"/>
      <c r="B810" s="242">
        <v>100</v>
      </c>
      <c r="C810" s="257" t="s">
        <v>243</v>
      </c>
      <c r="D810" s="242">
        <f t="shared" si="25"/>
        <v>11118252.73</v>
      </c>
      <c r="E810" s="242">
        <f>E799+E801+E802+E808</f>
        <v>9228404.030000001</v>
      </c>
      <c r="F810" s="242">
        <f>F799+F801+F802+F808</f>
        <v>1889848.7</v>
      </c>
      <c r="G810" s="230"/>
      <c r="H810" s="280"/>
      <c r="I810" s="280"/>
      <c r="J810" s="230"/>
    </row>
    <row r="811" spans="1:10" ht="12.75">
      <c r="A811" s="230"/>
      <c r="B811" s="230"/>
      <c r="C811" s="257" t="s">
        <v>244</v>
      </c>
      <c r="D811" s="242">
        <v>33654000</v>
      </c>
      <c r="E811" s="242">
        <f>29034000</f>
        <v>29034000</v>
      </c>
      <c r="F811" s="242">
        <f>D811-E811</f>
        <v>4620000</v>
      </c>
      <c r="G811" s="230"/>
      <c r="H811" s="246"/>
      <c r="I811" s="246"/>
      <c r="J811" s="230"/>
    </row>
    <row r="812" spans="1:10" ht="12.75">
      <c r="A812" s="230"/>
      <c r="B812" s="230"/>
      <c r="C812" s="257" t="s">
        <v>170</v>
      </c>
      <c r="D812" s="242">
        <f>D810*100/D811</f>
        <v>33.036942800261485</v>
      </c>
      <c r="E812" s="242">
        <f>E810*100/E811</f>
        <v>31.78481790314804</v>
      </c>
      <c r="F812" s="242">
        <f>F810*100/F811</f>
        <v>40.90581601731602</v>
      </c>
      <c r="G812" s="230"/>
      <c r="H812" s="230"/>
      <c r="I812" s="230"/>
      <c r="J812" s="230"/>
    </row>
    <row r="814" spans="1:10" ht="13.5" thickBot="1">
      <c r="A814" s="339" t="s">
        <v>270</v>
      </c>
      <c r="B814" s="339"/>
      <c r="C814" s="339"/>
      <c r="D814" s="339"/>
      <c r="E814" s="340"/>
      <c r="F814" s="340"/>
      <c r="G814" s="340"/>
      <c r="H814" s="341"/>
      <c r="I814" s="341"/>
      <c r="J814" s="339" t="s">
        <v>250</v>
      </c>
    </row>
    <row r="815" spans="1:11" ht="45.75" thickBot="1">
      <c r="A815" s="342" t="s">
        <v>0</v>
      </c>
      <c r="B815" s="343" t="s">
        <v>208</v>
      </c>
      <c r="C815" s="343" t="s">
        <v>1</v>
      </c>
      <c r="D815" s="343" t="s">
        <v>247</v>
      </c>
      <c r="E815" s="343" t="s">
        <v>248</v>
      </c>
      <c r="F815" s="344" t="s">
        <v>254</v>
      </c>
      <c r="G815" s="343" t="s">
        <v>253</v>
      </c>
      <c r="H815" s="343" t="s">
        <v>261</v>
      </c>
      <c r="I815" s="343" t="s">
        <v>201</v>
      </c>
      <c r="J815" s="343" t="s">
        <v>249</v>
      </c>
      <c r="K815" s="55"/>
    </row>
    <row r="816" spans="1:11" ht="12.75">
      <c r="A816" s="345">
        <v>411111</v>
      </c>
      <c r="B816" s="346"/>
      <c r="C816" s="345" t="s">
        <v>8</v>
      </c>
      <c r="D816" s="347">
        <v>70678290.52</v>
      </c>
      <c r="E816" s="347"/>
      <c r="F816" s="347"/>
      <c r="G816" s="347"/>
      <c r="H816" s="347"/>
      <c r="I816" s="348"/>
      <c r="J816" s="346"/>
      <c r="K816" s="92"/>
    </row>
    <row r="817" spans="1:11" ht="12.75">
      <c r="A817" s="349">
        <v>411112</v>
      </c>
      <c r="B817" s="346"/>
      <c r="C817" s="349" t="s">
        <v>93</v>
      </c>
      <c r="D817" s="350">
        <v>701310.26</v>
      </c>
      <c r="E817" s="350"/>
      <c r="F817" s="350"/>
      <c r="G817" s="350">
        <f>16.6*0.8</f>
        <v>13.280000000000001</v>
      </c>
      <c r="H817" s="350"/>
      <c r="I817" s="351"/>
      <c r="J817" s="352"/>
      <c r="K817" s="92"/>
    </row>
    <row r="818" spans="1:11" ht="12.75">
      <c r="A818" s="349">
        <v>411113</v>
      </c>
      <c r="B818" s="346"/>
      <c r="C818" s="349" t="s">
        <v>9</v>
      </c>
      <c r="D818" s="350">
        <v>320610.99</v>
      </c>
      <c r="E818" s="350"/>
      <c r="F818" s="350"/>
      <c r="G818" s="350"/>
      <c r="H818" s="350"/>
      <c r="I818" s="351"/>
      <c r="J818" s="352"/>
      <c r="K818" s="92"/>
    </row>
    <row r="819" spans="1:11" ht="12.75">
      <c r="A819" s="349">
        <v>411114</v>
      </c>
      <c r="B819" s="346"/>
      <c r="C819" s="349" t="s">
        <v>10</v>
      </c>
      <c r="D819" s="350">
        <v>435473.33</v>
      </c>
      <c r="E819" s="350"/>
      <c r="F819" s="350"/>
      <c r="G819" s="350"/>
      <c r="H819" s="350"/>
      <c r="I819" s="351"/>
      <c r="J819" s="352"/>
      <c r="K819" s="92"/>
    </row>
    <row r="820" spans="1:11" ht="12.75">
      <c r="A820" s="349">
        <v>411115</v>
      </c>
      <c r="B820" s="346"/>
      <c r="C820" s="349" t="s">
        <v>11</v>
      </c>
      <c r="D820" s="350">
        <v>4736398.51</v>
      </c>
      <c r="E820" s="350"/>
      <c r="F820" s="350"/>
      <c r="G820" s="350"/>
      <c r="H820" s="350"/>
      <c r="I820" s="351"/>
      <c r="J820" s="352"/>
      <c r="K820" s="92"/>
    </row>
    <row r="821" spans="1:11" ht="12.75">
      <c r="A821" s="349">
        <v>411117</v>
      </c>
      <c r="B821" s="346"/>
      <c r="C821" s="349" t="s">
        <v>12</v>
      </c>
      <c r="D821" s="350">
        <v>1012899.65</v>
      </c>
      <c r="E821" s="350"/>
      <c r="F821" s="350"/>
      <c r="G821" s="350"/>
      <c r="H821" s="350"/>
      <c r="I821" s="351"/>
      <c r="J821" s="352"/>
      <c r="K821" s="92"/>
    </row>
    <row r="822" spans="1:11" ht="12.75">
      <c r="A822" s="102">
        <v>4111</v>
      </c>
      <c r="B822" s="346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53"/>
      <c r="J822" s="354"/>
      <c r="K822" s="120"/>
    </row>
    <row r="823" spans="1:11" ht="12.75">
      <c r="A823" s="349">
        <v>412111</v>
      </c>
      <c r="B823" s="346"/>
      <c r="C823" s="349" t="s">
        <v>13</v>
      </c>
      <c r="D823" s="350">
        <v>8589604.95</v>
      </c>
      <c r="E823" s="350"/>
      <c r="F823" s="350"/>
      <c r="G823" s="350"/>
      <c r="H823" s="350"/>
      <c r="I823" s="351"/>
      <c r="J823" s="352"/>
      <c r="K823" s="92"/>
    </row>
    <row r="824" spans="1:11" ht="12.75">
      <c r="A824" s="349">
        <v>412113</v>
      </c>
      <c r="B824" s="346"/>
      <c r="C824" s="349" t="s">
        <v>129</v>
      </c>
      <c r="D824" s="350">
        <v>416742.75</v>
      </c>
      <c r="E824" s="350"/>
      <c r="F824" s="350"/>
      <c r="G824" s="350"/>
      <c r="H824" s="350"/>
      <c r="I824" s="351"/>
      <c r="J824" s="352"/>
      <c r="K824" s="92"/>
    </row>
    <row r="825" spans="1:11" ht="12.75">
      <c r="A825" s="102">
        <v>4121</v>
      </c>
      <c r="B825" s="346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53"/>
      <c r="J825" s="352"/>
      <c r="K825" s="122"/>
    </row>
    <row r="826" spans="1:11" ht="12.75">
      <c r="A826" s="349">
        <v>412211</v>
      </c>
      <c r="B826" s="346"/>
      <c r="C826" s="349" t="s">
        <v>14</v>
      </c>
      <c r="D826" s="350">
        <v>4802370.03</v>
      </c>
      <c r="E826" s="350"/>
      <c r="F826" s="350"/>
      <c r="G826" s="350"/>
      <c r="H826" s="350"/>
      <c r="I826" s="351"/>
      <c r="J826" s="352"/>
      <c r="K826" s="122"/>
    </row>
    <row r="827" spans="1:11" ht="12.75">
      <c r="A827" s="102">
        <v>4122</v>
      </c>
      <c r="B827" s="346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53"/>
      <c r="J827" s="352"/>
      <c r="K827" s="122"/>
    </row>
    <row r="828" spans="1:11" ht="12.75">
      <c r="A828" s="349">
        <v>412311</v>
      </c>
      <c r="B828" s="346"/>
      <c r="C828" s="349" t="s">
        <v>95</v>
      </c>
      <c r="D828" s="350">
        <v>585654.88</v>
      </c>
      <c r="E828" s="350"/>
      <c r="F828" s="350"/>
      <c r="G828" s="350"/>
      <c r="H828" s="350"/>
      <c r="I828" s="351"/>
      <c r="J828" s="352"/>
      <c r="K828" s="122"/>
    </row>
    <row r="829" spans="1:11" ht="12.75">
      <c r="A829" s="102">
        <v>4123</v>
      </c>
      <c r="B829" s="346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53"/>
      <c r="J829" s="352"/>
      <c r="K829" s="122"/>
    </row>
    <row r="830" spans="1:11" ht="12.75">
      <c r="A830" s="102"/>
      <c r="B830" s="355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53">
        <v>220216425</v>
      </c>
      <c r="J830" s="354">
        <f>216220000+7500000</f>
        <v>223720000</v>
      </c>
      <c r="K830" s="125"/>
    </row>
    <row r="831" spans="1:11" ht="12.75">
      <c r="A831" s="349">
        <v>413151</v>
      </c>
      <c r="B831" s="346"/>
      <c r="C831" s="349" t="s">
        <v>15</v>
      </c>
      <c r="D831" s="350">
        <v>34400</v>
      </c>
      <c r="E831" s="350"/>
      <c r="F831" s="350"/>
      <c r="G831" s="350"/>
      <c r="H831" s="350"/>
      <c r="I831" s="351"/>
      <c r="J831" s="352"/>
      <c r="K831" s="122"/>
    </row>
    <row r="832" spans="1:11" ht="12.75">
      <c r="A832" s="349">
        <v>415112</v>
      </c>
      <c r="B832" s="346"/>
      <c r="C832" s="349" t="s">
        <v>21</v>
      </c>
      <c r="D832" s="350">
        <v>1943711.77</v>
      </c>
      <c r="E832" s="350"/>
      <c r="F832" s="350"/>
      <c r="G832" s="350"/>
      <c r="H832" s="350"/>
      <c r="I832" s="351"/>
      <c r="J832" s="352"/>
      <c r="K832" s="122"/>
    </row>
    <row r="833" spans="1:11" ht="12.75">
      <c r="A833" s="102">
        <v>4131</v>
      </c>
      <c r="B833" s="355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53">
        <v>4362300</v>
      </c>
      <c r="J833" s="103">
        <v>4380000</v>
      </c>
      <c r="K833" s="113"/>
    </row>
    <row r="834" spans="1:11" ht="12.75">
      <c r="A834" s="349">
        <v>414111</v>
      </c>
      <c r="B834" s="346"/>
      <c r="C834" s="349" t="s">
        <v>16</v>
      </c>
      <c r="D834" s="350">
        <v>1287876.63</v>
      </c>
      <c r="E834" s="350"/>
      <c r="F834" s="350"/>
      <c r="G834" s="350"/>
      <c r="H834" s="350"/>
      <c r="I834" s="351"/>
      <c r="J834" s="352"/>
      <c r="K834" s="122"/>
    </row>
    <row r="835" spans="1:11" ht="12.75">
      <c r="A835" s="349">
        <v>414121</v>
      </c>
      <c r="B835" s="346"/>
      <c r="C835" s="349" t="s">
        <v>17</v>
      </c>
      <c r="D835" s="350">
        <v>147394</v>
      </c>
      <c r="E835" s="350"/>
      <c r="F835" s="350"/>
      <c r="G835" s="350">
        <f>J838-D838-E838-F838</f>
        <v>9027466.889999999</v>
      </c>
      <c r="H835" s="350"/>
      <c r="I835" s="351"/>
      <c r="J835" s="352"/>
      <c r="K835" s="122"/>
    </row>
    <row r="836" spans="1:11" ht="12.75">
      <c r="A836" s="349">
        <v>414131</v>
      </c>
      <c r="B836" s="346"/>
      <c r="C836" s="349" t="s">
        <v>18</v>
      </c>
      <c r="D836" s="350">
        <v>62203.1</v>
      </c>
      <c r="E836" s="350"/>
      <c r="F836" s="350"/>
      <c r="G836" s="350">
        <f>G835-G838</f>
        <v>143466.88999999873</v>
      </c>
      <c r="H836" s="350"/>
      <c r="I836" s="351"/>
      <c r="J836" s="352"/>
      <c r="K836" s="122"/>
    </row>
    <row r="837" spans="1:11" ht="12.75">
      <c r="A837" s="102">
        <v>4141</v>
      </c>
      <c r="B837" s="355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53"/>
      <c r="J837" s="354">
        <v>3000000</v>
      </c>
      <c r="K837" s="122"/>
    </row>
    <row r="838" spans="1:11" ht="12.75">
      <c r="A838" s="102"/>
      <c r="B838" s="355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53">
        <v>15222000</v>
      </c>
      <c r="J838" s="103">
        <f>12934000+3956000</f>
        <v>16890000</v>
      </c>
      <c r="K838" s="113"/>
    </row>
    <row r="839" spans="1:11" ht="12.75">
      <c r="A839" s="349">
        <v>414311</v>
      </c>
      <c r="B839" s="346"/>
      <c r="C839" s="349" t="s">
        <v>19</v>
      </c>
      <c r="D839" s="350">
        <v>329847</v>
      </c>
      <c r="E839" s="350"/>
      <c r="F839" s="350"/>
      <c r="G839" s="350">
        <f>5*160000</f>
        <v>800000</v>
      </c>
      <c r="H839" s="350">
        <f>SUM(D839:G839)</f>
        <v>1129847</v>
      </c>
      <c r="I839" s="351"/>
      <c r="J839" s="356">
        <v>1100000</v>
      </c>
      <c r="K839" s="136"/>
    </row>
    <row r="840" spans="1:11" ht="12.75">
      <c r="A840" s="349">
        <v>414314</v>
      </c>
      <c r="B840" s="346"/>
      <c r="C840" s="349" t="s">
        <v>20</v>
      </c>
      <c r="D840" s="350">
        <v>136782</v>
      </c>
      <c r="E840" s="350"/>
      <c r="F840" s="350"/>
      <c r="G840" s="350">
        <f>150000</f>
        <v>150000</v>
      </c>
      <c r="H840" s="350">
        <f aca="true" t="shared" si="26" ref="H840:H852">SUM(D840:G840)</f>
        <v>286782</v>
      </c>
      <c r="I840" s="351"/>
      <c r="J840" s="356">
        <v>250000</v>
      </c>
      <c r="K840" s="136"/>
    </row>
    <row r="841" spans="1:11" ht="12.75">
      <c r="A841" s="102">
        <v>4143</v>
      </c>
      <c r="B841" s="346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57">
        <f t="shared" si="26"/>
        <v>1416629</v>
      </c>
      <c r="I841" s="353">
        <f>SUM(I839:I840)</f>
        <v>0</v>
      </c>
      <c r="J841" s="354">
        <f>SUM(J839:J840)</f>
        <v>1350000</v>
      </c>
      <c r="K841" s="144"/>
    </row>
    <row r="842" spans="1:11" ht="12.75">
      <c r="A842" s="349">
        <v>421111</v>
      </c>
      <c r="B842" s="346"/>
      <c r="C842" s="349" t="s">
        <v>22</v>
      </c>
      <c r="D842" s="350">
        <v>329191.55</v>
      </c>
      <c r="E842" s="350"/>
      <c r="F842" s="350"/>
      <c r="G842" s="350"/>
      <c r="H842" s="350">
        <f t="shared" si="26"/>
        <v>329191.55</v>
      </c>
      <c r="I842" s="351"/>
      <c r="J842" s="352"/>
      <c r="K842" s="144"/>
    </row>
    <row r="843" spans="1:11" ht="12.75">
      <c r="A843" s="102">
        <v>4211</v>
      </c>
      <c r="B843" s="346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57">
        <f t="shared" si="26"/>
        <v>829191.55</v>
      </c>
      <c r="I843" s="358">
        <v>400000</v>
      </c>
      <c r="J843" s="354">
        <v>800000</v>
      </c>
      <c r="K843" s="144"/>
    </row>
    <row r="844" spans="1:11" ht="12.75">
      <c r="A844" s="349">
        <v>421311</v>
      </c>
      <c r="B844" s="346"/>
      <c r="C844" s="349" t="s">
        <v>25</v>
      </c>
      <c r="D844" s="350">
        <v>402958.32</v>
      </c>
      <c r="E844" s="350">
        <f>148465.47+140769.77</f>
        <v>289235.24</v>
      </c>
      <c r="F844" s="350"/>
      <c r="G844" s="350"/>
      <c r="H844" s="350">
        <f t="shared" si="26"/>
        <v>692193.56</v>
      </c>
      <c r="I844" s="351">
        <v>750000</v>
      </c>
      <c r="J844" s="352"/>
      <c r="K844" s="144"/>
    </row>
    <row r="845" spans="1:11" ht="12.75">
      <c r="A845" s="349">
        <v>421324</v>
      </c>
      <c r="B845" s="346"/>
      <c r="C845" s="349" t="s">
        <v>26</v>
      </c>
      <c r="D845" s="350">
        <v>223094.73</v>
      </c>
      <c r="E845" s="350">
        <f>78930.34+22592.84</f>
        <v>101523.18</v>
      </c>
      <c r="F845" s="350"/>
      <c r="G845" s="350"/>
      <c r="H845" s="350">
        <f t="shared" si="26"/>
        <v>324617.91000000003</v>
      </c>
      <c r="I845" s="351">
        <v>400000</v>
      </c>
      <c r="J845" s="352"/>
      <c r="K845" s="144"/>
    </row>
    <row r="846" spans="1:11" ht="12.75">
      <c r="A846" s="102">
        <v>4213</v>
      </c>
      <c r="B846" s="346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57">
        <v>2000000</v>
      </c>
      <c r="H846" s="357">
        <f t="shared" si="26"/>
        <v>3016811.4699999997</v>
      </c>
      <c r="I846" s="358">
        <f>SUM(I844:I845)</f>
        <v>1150000</v>
      </c>
      <c r="J846" s="354">
        <v>2000000</v>
      </c>
      <c r="K846" s="144"/>
    </row>
    <row r="847" spans="1:11" ht="12.75">
      <c r="A847" s="349">
        <v>421411</v>
      </c>
      <c r="B847" s="346"/>
      <c r="C847" s="349" t="s">
        <v>27</v>
      </c>
      <c r="D847" s="350">
        <v>34715.6</v>
      </c>
      <c r="E847" s="350"/>
      <c r="F847" s="350"/>
      <c r="G847" s="350"/>
      <c r="H847" s="350">
        <f t="shared" si="26"/>
        <v>34715.6</v>
      </c>
      <c r="I847" s="351"/>
      <c r="J847" s="352"/>
      <c r="K847" s="144"/>
    </row>
    <row r="848" spans="1:11" ht="12.75">
      <c r="A848" s="349">
        <v>421412</v>
      </c>
      <c r="B848" s="346"/>
      <c r="C848" s="349" t="s">
        <v>28</v>
      </c>
      <c r="D848" s="350">
        <v>11800</v>
      </c>
      <c r="E848" s="350"/>
      <c r="F848" s="350"/>
      <c r="G848" s="350"/>
      <c r="H848" s="350">
        <f t="shared" si="26"/>
        <v>11800</v>
      </c>
      <c r="I848" s="351"/>
      <c r="J848" s="352"/>
      <c r="K848" s="144"/>
    </row>
    <row r="849" spans="1:11" ht="12.75">
      <c r="A849" s="349">
        <v>421414</v>
      </c>
      <c r="B849" s="346"/>
      <c r="C849" s="349" t="s">
        <v>29</v>
      </c>
      <c r="D849" s="350">
        <v>14139.92</v>
      </c>
      <c r="E849" s="350"/>
      <c r="F849" s="350"/>
      <c r="G849" s="350"/>
      <c r="H849" s="350">
        <f t="shared" si="26"/>
        <v>14139.92</v>
      </c>
      <c r="I849" s="351"/>
      <c r="J849" s="352"/>
      <c r="K849" s="144"/>
    </row>
    <row r="850" spans="1:11" ht="12.75">
      <c r="A850" s="349">
        <v>421421</v>
      </c>
      <c r="B850" s="346"/>
      <c r="C850" s="349" t="s">
        <v>224</v>
      </c>
      <c r="D850" s="350">
        <v>8000</v>
      </c>
      <c r="E850" s="350"/>
      <c r="F850" s="350"/>
      <c r="G850" s="350"/>
      <c r="H850" s="350">
        <f t="shared" si="26"/>
        <v>8000</v>
      </c>
      <c r="I850" s="351"/>
      <c r="J850" s="352"/>
      <c r="K850" s="144"/>
    </row>
    <row r="851" spans="1:11" ht="12.75">
      <c r="A851" s="349">
        <v>421422</v>
      </c>
      <c r="B851" s="346"/>
      <c r="C851" s="349" t="s">
        <v>31</v>
      </c>
      <c r="D851" s="350">
        <v>44345</v>
      </c>
      <c r="E851" s="350"/>
      <c r="F851" s="350"/>
      <c r="G851" s="350"/>
      <c r="H851" s="350">
        <f t="shared" si="26"/>
        <v>44345</v>
      </c>
      <c r="I851" s="351"/>
      <c r="J851" s="352"/>
      <c r="K851" s="144"/>
    </row>
    <row r="852" spans="1:11" ht="12.75">
      <c r="A852" s="102">
        <v>4214</v>
      </c>
      <c r="B852" s="346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59"/>
      <c r="G852" s="357">
        <v>300000</v>
      </c>
      <c r="H852" s="357">
        <f t="shared" si="26"/>
        <v>640424.88</v>
      </c>
      <c r="I852" s="358">
        <v>600000</v>
      </c>
      <c r="J852" s="354">
        <v>600000</v>
      </c>
      <c r="K852" s="144"/>
    </row>
    <row r="853" spans="1:11" ht="12.75">
      <c r="A853" s="360"/>
      <c r="B853" s="360"/>
      <c r="C853" s="360"/>
      <c r="D853" s="361"/>
      <c r="E853" s="361"/>
      <c r="F853" s="361"/>
      <c r="G853" s="361"/>
      <c r="H853" s="361"/>
      <c r="I853" s="361"/>
      <c r="J853" s="362"/>
      <c r="K853" s="92"/>
    </row>
    <row r="854" spans="1:11" ht="12.75">
      <c r="A854" s="360"/>
      <c r="B854" s="360"/>
      <c r="C854" s="360"/>
      <c r="D854" s="361"/>
      <c r="E854" s="361"/>
      <c r="F854" s="361"/>
      <c r="G854" s="361"/>
      <c r="H854" s="361"/>
      <c r="I854" s="361"/>
      <c r="J854" s="362"/>
      <c r="K854" s="92"/>
    </row>
    <row r="855" spans="1:11" ht="12.75">
      <c r="A855" s="360"/>
      <c r="B855" s="360"/>
      <c r="C855" s="360"/>
      <c r="D855" s="361"/>
      <c r="E855" s="361"/>
      <c r="F855" s="361"/>
      <c r="G855" s="361"/>
      <c r="H855" s="361"/>
      <c r="I855" s="361"/>
      <c r="J855" s="362"/>
      <c r="K855" s="92"/>
    </row>
    <row r="856" spans="1:11" ht="12.75">
      <c r="A856" s="360"/>
      <c r="B856" s="360"/>
      <c r="C856" s="360"/>
      <c r="D856" s="361"/>
      <c r="E856" s="361"/>
      <c r="F856" s="361"/>
      <c r="G856" s="361"/>
      <c r="H856" s="361"/>
      <c r="I856" s="361"/>
      <c r="J856" s="362"/>
      <c r="K856" s="92"/>
    </row>
    <row r="857" spans="1:11" ht="12.75">
      <c r="A857" s="360"/>
      <c r="B857" s="360"/>
      <c r="C857" s="360"/>
      <c r="D857" s="361"/>
      <c r="E857" s="361"/>
      <c r="F857" s="361"/>
      <c r="G857" s="361"/>
      <c r="H857" s="361"/>
      <c r="I857" s="361"/>
      <c r="J857" s="362"/>
      <c r="K857" s="92"/>
    </row>
    <row r="858" spans="1:11" ht="12.75">
      <c r="A858" s="360"/>
      <c r="B858" s="360"/>
      <c r="C858" s="360"/>
      <c r="D858" s="361"/>
      <c r="E858" s="361"/>
      <c r="F858" s="361"/>
      <c r="G858" s="361"/>
      <c r="H858" s="361"/>
      <c r="I858" s="361"/>
      <c r="J858" s="362"/>
      <c r="K858" s="92"/>
    </row>
    <row r="859" spans="1:11" s="97" customFormat="1" ht="13.5" thickBot="1">
      <c r="A859" s="339" t="s">
        <v>270</v>
      </c>
      <c r="B859" s="339"/>
      <c r="C859" s="339"/>
      <c r="D859" s="339"/>
      <c r="E859" s="340"/>
      <c r="F859" s="340"/>
      <c r="G859" s="340"/>
      <c r="H859" s="341"/>
      <c r="I859" s="341"/>
      <c r="J859" s="339" t="s">
        <v>251</v>
      </c>
      <c r="K859" s="170"/>
    </row>
    <row r="860" spans="1:11" ht="45.75" thickBot="1">
      <c r="A860" s="342" t="s">
        <v>0</v>
      </c>
      <c r="B860" s="343" t="s">
        <v>208</v>
      </c>
      <c r="C860" s="343" t="s">
        <v>1</v>
      </c>
      <c r="D860" s="343" t="s">
        <v>247</v>
      </c>
      <c r="E860" s="343" t="s">
        <v>248</v>
      </c>
      <c r="F860" s="344" t="s">
        <v>254</v>
      </c>
      <c r="G860" s="343" t="s">
        <v>253</v>
      </c>
      <c r="H860" s="343" t="s">
        <v>261</v>
      </c>
      <c r="I860" s="343" t="s">
        <v>201</v>
      </c>
      <c r="J860" s="343" t="s">
        <v>249</v>
      </c>
      <c r="K860" s="144"/>
    </row>
    <row r="861" spans="1:11" ht="12.75">
      <c r="A861" s="349">
        <v>421513</v>
      </c>
      <c r="B861" s="345"/>
      <c r="C861" s="345" t="s">
        <v>33</v>
      </c>
      <c r="D861" s="347">
        <v>175635.68</v>
      </c>
      <c r="E861" s="347"/>
      <c r="F861" s="347"/>
      <c r="G861" s="347"/>
      <c r="H861" s="347"/>
      <c r="I861" s="347">
        <v>130000</v>
      </c>
      <c r="J861" s="346"/>
      <c r="K861" s="144"/>
    </row>
    <row r="862" spans="1:11" ht="12.75">
      <c r="A862" s="349">
        <v>421519</v>
      </c>
      <c r="B862" s="349"/>
      <c r="C862" s="349" t="s">
        <v>34</v>
      </c>
      <c r="D862" s="350">
        <v>458165.39</v>
      </c>
      <c r="E862" s="350"/>
      <c r="F862" s="350"/>
      <c r="G862" s="350"/>
      <c r="H862" s="350"/>
      <c r="I862" s="350">
        <v>1860000</v>
      </c>
      <c r="J862" s="352"/>
      <c r="K862" s="144"/>
    </row>
    <row r="863" spans="1:11" ht="12.75">
      <c r="A863" s="349">
        <v>421521</v>
      </c>
      <c r="B863" s="349"/>
      <c r="C863" s="349" t="s">
        <v>35</v>
      </c>
      <c r="D863" s="350">
        <v>36468</v>
      </c>
      <c r="E863" s="350"/>
      <c r="F863" s="350"/>
      <c r="G863" s="350"/>
      <c r="H863" s="350"/>
      <c r="I863" s="350">
        <v>220000</v>
      </c>
      <c r="J863" s="352"/>
      <c r="K863" s="144"/>
    </row>
    <row r="864" spans="1:11" ht="12.75">
      <c r="A864" s="102">
        <v>4215</v>
      </c>
      <c r="B864" s="356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54">
        <v>1600000</v>
      </c>
      <c r="K864" s="144"/>
    </row>
    <row r="865" spans="1:11" ht="12.75">
      <c r="A865" s="349">
        <v>422111</v>
      </c>
      <c r="B865" s="356"/>
      <c r="C865" s="349" t="s">
        <v>36</v>
      </c>
      <c r="D865" s="350">
        <v>42400</v>
      </c>
      <c r="E865" s="350"/>
      <c r="F865" s="350"/>
      <c r="G865" s="350"/>
      <c r="H865" s="350"/>
      <c r="I865" s="350"/>
      <c r="J865" s="352"/>
      <c r="K865" s="144"/>
    </row>
    <row r="866" spans="1:11" ht="12.75">
      <c r="A866" s="349">
        <v>422121</v>
      </c>
      <c r="B866" s="356"/>
      <c r="C866" s="349" t="s">
        <v>37</v>
      </c>
      <c r="D866" s="350">
        <v>29806.81</v>
      </c>
      <c r="E866" s="350"/>
      <c r="F866" s="350"/>
      <c r="G866" s="350"/>
      <c r="H866" s="350"/>
      <c r="I866" s="350"/>
      <c r="J866" s="352"/>
      <c r="K866" s="144"/>
    </row>
    <row r="867" spans="1:11" ht="12.75">
      <c r="A867" s="349">
        <v>422194</v>
      </c>
      <c r="B867" s="356"/>
      <c r="C867" s="349" t="s">
        <v>38</v>
      </c>
      <c r="D867" s="350">
        <v>0</v>
      </c>
      <c r="E867" s="350"/>
      <c r="F867" s="350"/>
      <c r="G867" s="350"/>
      <c r="H867" s="350"/>
      <c r="I867" s="350"/>
      <c r="J867" s="352"/>
      <c r="K867" s="144"/>
    </row>
    <row r="868" spans="1:11" ht="12.75">
      <c r="A868" s="349">
        <v>422199</v>
      </c>
      <c r="B868" s="356"/>
      <c r="C868" s="349" t="s">
        <v>39</v>
      </c>
      <c r="D868" s="350">
        <v>15600</v>
      </c>
      <c r="E868" s="350"/>
      <c r="F868" s="350"/>
      <c r="G868" s="350"/>
      <c r="H868" s="350"/>
      <c r="I868" s="350"/>
      <c r="J868" s="352"/>
      <c r="K868" s="144"/>
    </row>
    <row r="869" spans="1:11" ht="12.75">
      <c r="A869" s="102">
        <v>4221</v>
      </c>
      <c r="B869" s="356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54">
        <v>150000</v>
      </c>
      <c r="K869" s="144"/>
    </row>
    <row r="870" spans="1:11" ht="12.75">
      <c r="A870" s="349">
        <v>423291</v>
      </c>
      <c r="B870" s="356"/>
      <c r="C870" s="349" t="s">
        <v>40</v>
      </c>
      <c r="D870" s="350">
        <v>68748</v>
      </c>
      <c r="E870" s="350"/>
      <c r="F870" s="350"/>
      <c r="G870" s="350"/>
      <c r="H870" s="350"/>
      <c r="I870" s="350"/>
      <c r="J870" s="352"/>
      <c r="K870" s="144"/>
    </row>
    <row r="871" spans="1:11" ht="12.75">
      <c r="A871" s="102">
        <v>4232</v>
      </c>
      <c r="B871" s="356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54">
        <v>150000</v>
      </c>
      <c r="K871" s="144"/>
    </row>
    <row r="872" spans="1:11" ht="12.75">
      <c r="A872" s="349">
        <v>423311</v>
      </c>
      <c r="B872" s="356"/>
      <c r="C872" s="349" t="s">
        <v>42</v>
      </c>
      <c r="D872" s="350">
        <v>90000</v>
      </c>
      <c r="E872" s="350"/>
      <c r="F872" s="350"/>
      <c r="G872" s="350"/>
      <c r="H872" s="350"/>
      <c r="I872" s="350"/>
      <c r="J872" s="352"/>
      <c r="K872" s="144"/>
    </row>
    <row r="873" spans="1:11" ht="12.75">
      <c r="A873" s="349">
        <v>423321</v>
      </c>
      <c r="B873" s="356"/>
      <c r="C873" s="349" t="s">
        <v>41</v>
      </c>
      <c r="D873" s="350">
        <v>2720</v>
      </c>
      <c r="E873" s="350"/>
      <c r="F873" s="350"/>
      <c r="G873" s="350"/>
      <c r="H873" s="350"/>
      <c r="I873" s="350"/>
      <c r="J873" s="352"/>
      <c r="K873" s="144"/>
    </row>
    <row r="874" spans="1:11" ht="12.75">
      <c r="A874" s="349">
        <v>4233910</v>
      </c>
      <c r="B874" s="356"/>
      <c r="C874" s="349" t="s">
        <v>130</v>
      </c>
      <c r="D874" s="350">
        <v>62307.99</v>
      </c>
      <c r="E874" s="350"/>
      <c r="F874" s="350"/>
      <c r="G874" s="350"/>
      <c r="H874" s="350"/>
      <c r="I874" s="350"/>
      <c r="J874" s="352"/>
      <c r="K874" s="144"/>
    </row>
    <row r="875" spans="1:11" ht="12.75">
      <c r="A875" s="102">
        <v>4233</v>
      </c>
      <c r="B875" s="356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54">
        <v>650000</v>
      </c>
      <c r="K875" s="144"/>
    </row>
    <row r="876" spans="1:11" ht="12.75">
      <c r="A876" s="349">
        <v>423421</v>
      </c>
      <c r="B876" s="356"/>
      <c r="C876" s="349" t="s">
        <v>43</v>
      </c>
      <c r="D876" s="350">
        <v>6499.99</v>
      </c>
      <c r="E876" s="350"/>
      <c r="F876" s="350"/>
      <c r="G876" s="350"/>
      <c r="H876" s="350"/>
      <c r="I876" s="350"/>
      <c r="J876" s="352"/>
      <c r="K876" s="144"/>
    </row>
    <row r="877" spans="1:11" ht="12.75">
      <c r="A877" s="363">
        <v>423432</v>
      </c>
      <c r="B877" s="356"/>
      <c r="C877" s="363" t="s">
        <v>44</v>
      </c>
      <c r="D877" s="364">
        <v>53980.44</v>
      </c>
      <c r="E877" s="364"/>
      <c r="F877" s="364"/>
      <c r="G877" s="364"/>
      <c r="H877" s="364"/>
      <c r="I877" s="364"/>
      <c r="J877" s="352"/>
      <c r="K877" s="144"/>
    </row>
    <row r="878" spans="1:11" ht="12.75">
      <c r="A878" s="102">
        <v>4234</v>
      </c>
      <c r="B878" s="356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54">
        <v>130000</v>
      </c>
      <c r="K878" s="144"/>
    </row>
    <row r="879" spans="1:11" ht="12.75">
      <c r="A879" s="349">
        <v>423539</v>
      </c>
      <c r="B879" s="356"/>
      <c r="C879" s="349" t="s">
        <v>131</v>
      </c>
      <c r="D879" s="350">
        <v>88000</v>
      </c>
      <c r="E879" s="350"/>
      <c r="F879" s="350"/>
      <c r="G879" s="350"/>
      <c r="H879" s="350"/>
      <c r="I879" s="350"/>
      <c r="J879" s="352"/>
      <c r="K879" s="144"/>
    </row>
    <row r="880" spans="1:11" ht="12.75">
      <c r="A880" s="349">
        <v>423599</v>
      </c>
      <c r="B880" s="356"/>
      <c r="C880" s="349" t="s">
        <v>45</v>
      </c>
      <c r="D880" s="350">
        <v>101790.15</v>
      </c>
      <c r="E880" s="350"/>
      <c r="F880" s="350"/>
      <c r="G880" s="350"/>
      <c r="H880" s="350"/>
      <c r="I880" s="350"/>
      <c r="J880" s="352"/>
      <c r="K880" s="144"/>
    </row>
    <row r="881" spans="1:11" ht="12.75">
      <c r="A881" s="102">
        <v>4235</v>
      </c>
      <c r="B881" s="356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54">
        <v>250000</v>
      </c>
      <c r="K881" s="144"/>
    </row>
    <row r="882" spans="1:11" ht="12.75">
      <c r="A882" s="349">
        <v>423611</v>
      </c>
      <c r="B882" s="356"/>
      <c r="C882" s="349" t="s">
        <v>46</v>
      </c>
      <c r="D882" s="350">
        <v>612933.3</v>
      </c>
      <c r="E882" s="350"/>
      <c r="F882" s="350"/>
      <c r="G882" s="350"/>
      <c r="H882" s="350"/>
      <c r="I882" s="350"/>
      <c r="J882" s="352"/>
      <c r="K882" s="144"/>
    </row>
    <row r="883" spans="1:11" ht="12.75">
      <c r="A883" s="102">
        <v>4236</v>
      </c>
      <c r="B883" s="356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54">
        <v>1880000</v>
      </c>
      <c r="K883" s="144"/>
    </row>
    <row r="884" spans="1:11" ht="12.75">
      <c r="A884" s="349">
        <v>423711</v>
      </c>
      <c r="B884" s="356"/>
      <c r="C884" s="349" t="s">
        <v>47</v>
      </c>
      <c r="D884" s="350">
        <v>6768.34</v>
      </c>
      <c r="E884" s="350"/>
      <c r="F884" s="350"/>
      <c r="G884" s="350"/>
      <c r="H884" s="350"/>
      <c r="I884" s="350"/>
      <c r="J884" s="352"/>
      <c r="K884" s="144"/>
    </row>
    <row r="885" spans="1:11" ht="12.75">
      <c r="A885" s="102">
        <v>4237</v>
      </c>
      <c r="B885" s="356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54">
        <v>60000</v>
      </c>
      <c r="K885" s="144"/>
    </row>
    <row r="886" spans="1:11" ht="12.75">
      <c r="A886" s="349">
        <v>423911</v>
      </c>
      <c r="B886" s="356"/>
      <c r="C886" s="349" t="s">
        <v>48</v>
      </c>
      <c r="D886" s="350">
        <v>26048</v>
      </c>
      <c r="E886" s="350"/>
      <c r="F886" s="350"/>
      <c r="G886" s="350"/>
      <c r="H886" s="350"/>
      <c r="I886" s="350"/>
      <c r="J886" s="352"/>
      <c r="K886" s="144"/>
    </row>
    <row r="887" spans="1:11" ht="12.75">
      <c r="A887" s="102">
        <v>4239</v>
      </c>
      <c r="B887" s="356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54">
        <v>200000</v>
      </c>
      <c r="K887" s="144"/>
    </row>
    <row r="888" spans="1:11" ht="12.75">
      <c r="A888" s="349">
        <v>424351</v>
      </c>
      <c r="B888" s="356"/>
      <c r="C888" s="349" t="s">
        <v>49</v>
      </c>
      <c r="D888" s="350">
        <v>0</v>
      </c>
      <c r="E888" s="350"/>
      <c r="F888" s="350"/>
      <c r="G888" s="350"/>
      <c r="H888" s="350"/>
      <c r="I888" s="350"/>
      <c r="J888" s="352"/>
      <c r="K888" s="144"/>
    </row>
    <row r="889" spans="1:11" ht="12.75">
      <c r="A889" s="102">
        <v>4243</v>
      </c>
      <c r="B889" s="356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54">
        <v>300000</v>
      </c>
      <c r="K889" s="144"/>
    </row>
    <row r="890" spans="1:11" ht="12.75">
      <c r="A890" s="349">
        <v>425112</v>
      </c>
      <c r="B890" s="356"/>
      <c r="C890" s="349" t="s">
        <v>50</v>
      </c>
      <c r="D890" s="350">
        <v>10358.04</v>
      </c>
      <c r="E890" s="350"/>
      <c r="F890" s="350"/>
      <c r="G890" s="350"/>
      <c r="H890" s="350"/>
      <c r="I890" s="350"/>
      <c r="J890" s="352"/>
      <c r="K890" s="144"/>
    </row>
    <row r="891" spans="1:11" ht="12.75">
      <c r="A891" s="349">
        <v>425115</v>
      </c>
      <c r="B891" s="356"/>
      <c r="C891" s="349" t="s">
        <v>51</v>
      </c>
      <c r="D891" s="350">
        <v>11145.1</v>
      </c>
      <c r="E891" s="350"/>
      <c r="F891" s="350"/>
      <c r="G891" s="350"/>
      <c r="H891" s="350"/>
      <c r="I891" s="350"/>
      <c r="J891" s="352"/>
      <c r="K891" s="144"/>
    </row>
    <row r="892" spans="1:11" ht="12.75">
      <c r="A892" s="349">
        <v>425117</v>
      </c>
      <c r="B892" s="356"/>
      <c r="C892" s="349" t="s">
        <v>52</v>
      </c>
      <c r="D892" s="350">
        <v>35272.32</v>
      </c>
      <c r="E892" s="350"/>
      <c r="F892" s="350"/>
      <c r="G892" s="350"/>
      <c r="H892" s="350"/>
      <c r="I892" s="350"/>
      <c r="J892" s="352"/>
      <c r="K892" s="144"/>
    </row>
    <row r="893" spans="1:11" ht="12.75">
      <c r="A893" s="102">
        <v>4251</v>
      </c>
      <c r="B893" s="356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54">
        <v>550000</v>
      </c>
      <c r="K893" s="144"/>
    </row>
    <row r="894" spans="1:11" ht="12.75">
      <c r="A894" s="349">
        <v>425211</v>
      </c>
      <c r="B894" s="356"/>
      <c r="C894" s="349" t="s">
        <v>53</v>
      </c>
      <c r="D894" s="350">
        <v>18172</v>
      </c>
      <c r="E894" s="350"/>
      <c r="F894" s="350"/>
      <c r="G894" s="350"/>
      <c r="H894" s="350"/>
      <c r="I894" s="350"/>
      <c r="J894" s="352"/>
      <c r="K894" s="144"/>
    </row>
    <row r="895" spans="1:11" ht="12.75">
      <c r="A895" s="349">
        <v>425212</v>
      </c>
      <c r="B895" s="356"/>
      <c r="C895" s="349" t="s">
        <v>54</v>
      </c>
      <c r="D895" s="350">
        <v>0</v>
      </c>
      <c r="E895" s="350"/>
      <c r="F895" s="350"/>
      <c r="G895" s="350"/>
      <c r="H895" s="350"/>
      <c r="I895" s="350"/>
      <c r="J895" s="352"/>
      <c r="K895" s="144"/>
    </row>
    <row r="896" spans="1:11" ht="12.75">
      <c r="A896" s="349">
        <v>425213</v>
      </c>
      <c r="B896" s="356"/>
      <c r="C896" s="349" t="s">
        <v>55</v>
      </c>
      <c r="D896" s="350">
        <v>0</v>
      </c>
      <c r="E896" s="350"/>
      <c r="F896" s="350"/>
      <c r="G896" s="350"/>
      <c r="H896" s="350"/>
      <c r="I896" s="350"/>
      <c r="J896" s="352"/>
      <c r="K896" s="144"/>
    </row>
    <row r="897" spans="1:11" ht="12.75">
      <c r="A897" s="349">
        <v>425222</v>
      </c>
      <c r="B897" s="356"/>
      <c r="C897" s="349" t="s">
        <v>56</v>
      </c>
      <c r="D897" s="350">
        <v>44185</v>
      </c>
      <c r="E897" s="350"/>
      <c r="F897" s="350"/>
      <c r="G897" s="350"/>
      <c r="H897" s="350"/>
      <c r="I897" s="350"/>
      <c r="J897" s="352"/>
      <c r="K897" s="144"/>
    </row>
    <row r="898" spans="1:11" ht="12.75">
      <c r="A898" s="349">
        <v>425223</v>
      </c>
      <c r="B898" s="356"/>
      <c r="C898" s="349" t="s">
        <v>57</v>
      </c>
      <c r="D898" s="350">
        <v>38550</v>
      </c>
      <c r="E898" s="350"/>
      <c r="F898" s="350"/>
      <c r="G898" s="350"/>
      <c r="H898" s="350"/>
      <c r="I898" s="350"/>
      <c r="J898" s="352"/>
      <c r="K898" s="144"/>
    </row>
    <row r="899" spans="1:11" ht="12.75">
      <c r="A899" s="349">
        <v>425225</v>
      </c>
      <c r="B899" s="356"/>
      <c r="C899" s="349" t="s">
        <v>58</v>
      </c>
      <c r="D899" s="350">
        <v>0</v>
      </c>
      <c r="E899" s="350"/>
      <c r="F899" s="350"/>
      <c r="G899" s="350"/>
      <c r="H899" s="350"/>
      <c r="I899" s="350"/>
      <c r="J899" s="352"/>
      <c r="K899" s="144"/>
    </row>
    <row r="900" spans="1:11" ht="12.75">
      <c r="A900" s="349">
        <v>425251</v>
      </c>
      <c r="B900" s="356"/>
      <c r="C900" s="349" t="s">
        <v>59</v>
      </c>
      <c r="D900" s="350">
        <v>106038</v>
      </c>
      <c r="E900" s="350"/>
      <c r="F900" s="350"/>
      <c r="G900" s="350"/>
      <c r="H900" s="350"/>
      <c r="I900" s="350"/>
      <c r="J900" s="352"/>
      <c r="K900" s="144"/>
    </row>
    <row r="901" spans="1:11" ht="12.75">
      <c r="A901" s="349">
        <v>425252</v>
      </c>
      <c r="B901" s="356"/>
      <c r="C901" s="349" t="s">
        <v>60</v>
      </c>
      <c r="D901" s="350">
        <v>0</v>
      </c>
      <c r="E901" s="350"/>
      <c r="F901" s="350"/>
      <c r="G901" s="350"/>
      <c r="H901" s="350"/>
      <c r="I901" s="350"/>
      <c r="J901" s="352"/>
      <c r="K901" s="144"/>
    </row>
    <row r="902" spans="1:11" ht="12.75">
      <c r="A902" s="365"/>
      <c r="B902" s="366"/>
      <c r="C902" s="365"/>
      <c r="D902" s="367"/>
      <c r="E902" s="367"/>
      <c r="F902" s="367"/>
      <c r="G902" s="367"/>
      <c r="H902" s="367"/>
      <c r="I902" s="367"/>
      <c r="J902" s="362"/>
      <c r="K902" s="144"/>
    </row>
    <row r="903" spans="1:11" s="97" customFormat="1" ht="13.5" thickBot="1">
      <c r="A903" s="339" t="s">
        <v>269</v>
      </c>
      <c r="B903" s="339"/>
      <c r="C903" s="339"/>
      <c r="D903" s="339"/>
      <c r="E903" s="340"/>
      <c r="F903" s="340"/>
      <c r="G903" s="340"/>
      <c r="H903" s="341"/>
      <c r="I903" s="341"/>
      <c r="J903" s="339" t="s">
        <v>252</v>
      </c>
      <c r="K903" s="170"/>
    </row>
    <row r="904" spans="1:11" ht="45.75" thickBot="1">
      <c r="A904" s="342" t="s">
        <v>0</v>
      </c>
      <c r="B904" s="343" t="s">
        <v>208</v>
      </c>
      <c r="C904" s="343" t="s">
        <v>1</v>
      </c>
      <c r="D904" s="343" t="s">
        <v>247</v>
      </c>
      <c r="E904" s="343" t="s">
        <v>248</v>
      </c>
      <c r="F904" s="344" t="s">
        <v>254</v>
      </c>
      <c r="G904" s="343" t="s">
        <v>253</v>
      </c>
      <c r="H904" s="343" t="s">
        <v>261</v>
      </c>
      <c r="I904" s="343" t="s">
        <v>201</v>
      </c>
      <c r="J904" s="343" t="s">
        <v>249</v>
      </c>
      <c r="K904" s="92"/>
    </row>
    <row r="905" spans="1:11" ht="12.75">
      <c r="A905" s="349">
        <v>425291</v>
      </c>
      <c r="B905" s="345"/>
      <c r="C905" s="345" t="s">
        <v>62</v>
      </c>
      <c r="D905" s="347">
        <v>53836.8</v>
      </c>
      <c r="E905" s="347"/>
      <c r="F905" s="347"/>
      <c r="G905" s="347"/>
      <c r="H905" s="347"/>
      <c r="I905" s="347"/>
      <c r="J905" s="346"/>
      <c r="K905" s="144"/>
    </row>
    <row r="906" spans="1:11" ht="12.75">
      <c r="A906" s="102">
        <v>4252</v>
      </c>
      <c r="B906" s="356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54">
        <v>1000000</v>
      </c>
      <c r="K906" s="144"/>
    </row>
    <row r="907" spans="1:11" ht="12.75">
      <c r="A907" s="349">
        <v>426111</v>
      </c>
      <c r="B907" s="356"/>
      <c r="C907" s="349" t="s">
        <v>63</v>
      </c>
      <c r="D907" s="350">
        <v>439441.28</v>
      </c>
      <c r="E907" s="350"/>
      <c r="F907" s="350"/>
      <c r="G907" s="350"/>
      <c r="H907" s="350"/>
      <c r="I907" s="350"/>
      <c r="J907" s="352"/>
      <c r="K907" s="144"/>
    </row>
    <row r="908" spans="1:11" ht="12.75">
      <c r="A908" s="349">
        <v>426121</v>
      </c>
      <c r="B908" s="356"/>
      <c r="C908" s="349" t="s">
        <v>132</v>
      </c>
      <c r="D908" s="350">
        <v>8484.2</v>
      </c>
      <c r="E908" s="350"/>
      <c r="F908" s="350"/>
      <c r="G908" s="350"/>
      <c r="H908" s="350"/>
      <c r="I908" s="350"/>
      <c r="J908" s="352"/>
      <c r="K908" s="144"/>
    </row>
    <row r="909" spans="1:11" ht="12.75">
      <c r="A909" s="349">
        <v>426129</v>
      </c>
      <c r="B909" s="356"/>
      <c r="C909" s="349" t="s">
        <v>64</v>
      </c>
      <c r="D909" s="350">
        <v>5392.6</v>
      </c>
      <c r="E909" s="350"/>
      <c r="F909" s="350"/>
      <c r="G909" s="350"/>
      <c r="H909" s="350"/>
      <c r="I909" s="350"/>
      <c r="J909" s="352"/>
      <c r="K909" s="144"/>
    </row>
    <row r="910" spans="1:11" ht="12.75">
      <c r="A910" s="102">
        <v>4261</v>
      </c>
      <c r="B910" s="356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54">
        <v>1400000</v>
      </c>
      <c r="K910" s="144"/>
    </row>
    <row r="911" spans="1:11" ht="12.75">
      <c r="A911" s="349">
        <v>426311</v>
      </c>
      <c r="B911" s="356"/>
      <c r="C911" s="349" t="s">
        <v>65</v>
      </c>
      <c r="D911" s="350">
        <v>77900</v>
      </c>
      <c r="E911" s="350"/>
      <c r="F911" s="350"/>
      <c r="G911" s="350"/>
      <c r="H911" s="350"/>
      <c r="I911" s="350"/>
      <c r="J911" s="352"/>
      <c r="K911" s="144"/>
    </row>
    <row r="912" spans="1:11" ht="12.75">
      <c r="A912" s="102">
        <v>4263</v>
      </c>
      <c r="B912" s="356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54">
        <v>150000</v>
      </c>
      <c r="K912" s="144"/>
    </row>
    <row r="913" spans="1:11" ht="12.75">
      <c r="A913" s="349">
        <v>426491</v>
      </c>
      <c r="B913" s="356"/>
      <c r="C913" s="349" t="s">
        <v>69</v>
      </c>
      <c r="D913" s="350">
        <v>293820.82</v>
      </c>
      <c r="E913" s="350"/>
      <c r="F913" s="350"/>
      <c r="G913" s="350"/>
      <c r="H913" s="350"/>
      <c r="I913" s="350"/>
      <c r="J913" s="352"/>
      <c r="K913" s="144"/>
    </row>
    <row r="914" spans="1:11" ht="12.75">
      <c r="A914" s="102">
        <v>4264</v>
      </c>
      <c r="B914" s="356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49">
        <v>426811</v>
      </c>
      <c r="B915" s="356"/>
      <c r="C915" s="349" t="s">
        <v>76</v>
      </c>
      <c r="D915" s="350">
        <v>60097.97</v>
      </c>
      <c r="E915" s="350"/>
      <c r="F915" s="350"/>
      <c r="G915" s="350"/>
      <c r="H915" s="350"/>
      <c r="I915" s="350"/>
      <c r="J915" s="352"/>
      <c r="K915" s="144"/>
    </row>
    <row r="916" spans="1:11" ht="12.75">
      <c r="A916" s="349">
        <v>426812</v>
      </c>
      <c r="B916" s="356"/>
      <c r="C916" s="349" t="s">
        <v>77</v>
      </c>
      <c r="D916" s="350">
        <v>16461</v>
      </c>
      <c r="E916" s="350"/>
      <c r="F916" s="350"/>
      <c r="G916" s="350"/>
      <c r="H916" s="350"/>
      <c r="I916" s="350"/>
      <c r="J916" s="352"/>
      <c r="K916" s="144"/>
    </row>
    <row r="917" spans="1:11" ht="12.75">
      <c r="A917" s="349">
        <v>426819</v>
      </c>
      <c r="B917" s="356"/>
      <c r="C917" s="349" t="s">
        <v>78</v>
      </c>
      <c r="D917" s="350">
        <v>0</v>
      </c>
      <c r="E917" s="350"/>
      <c r="F917" s="350"/>
      <c r="G917" s="350"/>
      <c r="H917" s="350"/>
      <c r="I917" s="350"/>
      <c r="J917" s="352"/>
      <c r="K917" s="144"/>
    </row>
    <row r="918" spans="1:11" ht="12.75">
      <c r="A918" s="102">
        <v>4268</v>
      </c>
      <c r="B918" s="356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54">
        <v>350000</v>
      </c>
      <c r="K918" s="144"/>
    </row>
    <row r="919" spans="1:11" ht="12.75">
      <c r="A919" s="349">
        <v>426911</v>
      </c>
      <c r="B919" s="356"/>
      <c r="C919" s="349" t="s">
        <v>79</v>
      </c>
      <c r="D919" s="350">
        <f>E919+G919</f>
        <v>0</v>
      </c>
      <c r="E919" s="350"/>
      <c r="F919" s="350"/>
      <c r="G919" s="350"/>
      <c r="H919" s="350"/>
      <c r="I919" s="350"/>
      <c r="J919" s="352"/>
      <c r="K919" s="144"/>
    </row>
    <row r="920" spans="1:11" ht="12.75">
      <c r="A920" s="349">
        <v>426913</v>
      </c>
      <c r="B920" s="356"/>
      <c r="C920" s="349" t="s">
        <v>80</v>
      </c>
      <c r="D920" s="350">
        <v>84536</v>
      </c>
      <c r="E920" s="350"/>
      <c r="F920" s="350"/>
      <c r="G920" s="350"/>
      <c r="H920" s="350"/>
      <c r="I920" s="350"/>
      <c r="J920" s="352"/>
      <c r="K920" s="144"/>
    </row>
    <row r="921" spans="1:11" ht="12.75">
      <c r="A921" s="102">
        <v>4269</v>
      </c>
      <c r="B921" s="356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54">
        <v>500000</v>
      </c>
      <c r="K921" s="144"/>
    </row>
    <row r="922" spans="1:11" ht="12.75">
      <c r="A922" s="349">
        <v>444211</v>
      </c>
      <c r="B922" s="356"/>
      <c r="C922" s="349" t="s">
        <v>85</v>
      </c>
      <c r="D922" s="350">
        <v>5347.14</v>
      </c>
      <c r="E922" s="350"/>
      <c r="F922" s="350"/>
      <c r="G922" s="350"/>
      <c r="H922" s="350"/>
      <c r="I922" s="350"/>
      <c r="J922" s="352"/>
      <c r="K922" s="92"/>
    </row>
    <row r="923" spans="1:11" ht="12.75">
      <c r="A923" s="102">
        <v>4442</v>
      </c>
      <c r="B923" s="356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2"/>
      <c r="K923" s="92"/>
    </row>
    <row r="924" spans="1:11" ht="12.75">
      <c r="A924" s="349">
        <v>482131</v>
      </c>
      <c r="B924" s="356"/>
      <c r="C924" s="349" t="s">
        <v>86</v>
      </c>
      <c r="D924" s="350">
        <v>3142.5</v>
      </c>
      <c r="E924" s="350"/>
      <c r="F924" s="350"/>
      <c r="G924" s="350"/>
      <c r="H924" s="350"/>
      <c r="I924" s="350"/>
      <c r="J924" s="352"/>
      <c r="K924" s="92"/>
    </row>
    <row r="925" spans="1:11" ht="12.75">
      <c r="A925" s="102">
        <v>4821</v>
      </c>
      <c r="B925" s="356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54">
        <v>7000</v>
      </c>
      <c r="K925" s="92"/>
    </row>
    <row r="926" spans="1:11" ht="12.75">
      <c r="A926" s="349">
        <v>482211</v>
      </c>
      <c r="B926" s="356"/>
      <c r="C926" s="349" t="s">
        <v>88</v>
      </c>
      <c r="D926" s="350">
        <v>0</v>
      </c>
      <c r="E926" s="350"/>
      <c r="F926" s="350"/>
      <c r="G926" s="350"/>
      <c r="H926" s="350"/>
      <c r="I926" s="350"/>
      <c r="J926" s="352"/>
      <c r="K926" s="92"/>
    </row>
    <row r="927" spans="1:11" ht="12.75">
      <c r="A927" s="345">
        <v>482241</v>
      </c>
      <c r="B927" s="356"/>
      <c r="C927" s="345" t="s">
        <v>91</v>
      </c>
      <c r="D927" s="347">
        <v>43549</v>
      </c>
      <c r="E927" s="347"/>
      <c r="F927" s="347"/>
      <c r="G927" s="347"/>
      <c r="H927" s="347"/>
      <c r="I927" s="347"/>
      <c r="J927" s="352"/>
      <c r="K927" s="92"/>
    </row>
    <row r="928" spans="1:11" ht="12.75">
      <c r="A928" s="349">
        <v>482251</v>
      </c>
      <c r="B928" s="356"/>
      <c r="C928" s="349" t="s">
        <v>89</v>
      </c>
      <c r="D928" s="350">
        <v>96783</v>
      </c>
      <c r="E928" s="350"/>
      <c r="F928" s="350"/>
      <c r="G928" s="350"/>
      <c r="H928" s="350"/>
      <c r="I928" s="350"/>
      <c r="J928" s="352"/>
      <c r="K928" s="92"/>
    </row>
    <row r="929" spans="1:11" ht="12.75">
      <c r="A929" s="349"/>
      <c r="B929" s="356"/>
      <c r="C929" s="349" t="s">
        <v>265</v>
      </c>
      <c r="D929" s="350"/>
      <c r="E929" s="350"/>
      <c r="F929" s="350"/>
      <c r="G929" s="350"/>
      <c r="H929" s="350"/>
      <c r="I929" s="357">
        <v>2200000</v>
      </c>
      <c r="J929" s="352"/>
      <c r="K929" s="92"/>
    </row>
    <row r="930" spans="1:11" ht="12.75">
      <c r="A930" s="102">
        <v>4822</v>
      </c>
      <c r="B930" s="356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54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68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49">
        <v>421211</v>
      </c>
      <c r="B933" s="356"/>
      <c r="C933" s="349" t="s">
        <v>23</v>
      </c>
      <c r="D933" s="350">
        <v>668574.08</v>
      </c>
      <c r="E933" s="350"/>
      <c r="F933" s="350"/>
      <c r="G933" s="350">
        <v>1800000</v>
      </c>
      <c r="H933" s="350"/>
      <c r="I933" s="350"/>
      <c r="J933" s="352"/>
      <c r="K933" s="136"/>
    </row>
    <row r="934" spans="1:11" ht="12.75">
      <c r="A934" s="349">
        <v>421225</v>
      </c>
      <c r="B934" s="356"/>
      <c r="C934" s="349" t="s">
        <v>24</v>
      </c>
      <c r="D934" s="350">
        <v>41318.2</v>
      </c>
      <c r="E934" s="350"/>
      <c r="F934" s="350"/>
      <c r="G934" s="350">
        <v>3200000</v>
      </c>
      <c r="H934" s="350"/>
      <c r="I934" s="350"/>
      <c r="J934" s="352"/>
      <c r="K934" s="136"/>
    </row>
    <row r="935" spans="1:11" ht="12.75">
      <c r="A935" s="349">
        <v>426411</v>
      </c>
      <c r="B935" s="356"/>
      <c r="C935" s="349" t="s">
        <v>66</v>
      </c>
      <c r="D935" s="350">
        <v>1229000</v>
      </c>
      <c r="E935" s="350"/>
      <c r="F935" s="350"/>
      <c r="G935" s="350">
        <v>3000000</v>
      </c>
      <c r="H935" s="350"/>
      <c r="I935" s="350"/>
      <c r="J935" s="352"/>
      <c r="K935" s="136"/>
    </row>
    <row r="936" spans="1:11" ht="12.75">
      <c r="A936" s="349">
        <v>426412</v>
      </c>
      <c r="B936" s="356"/>
      <c r="C936" s="349" t="s">
        <v>67</v>
      </c>
      <c r="D936" s="350">
        <v>200000</v>
      </c>
      <c r="E936" s="350"/>
      <c r="F936" s="350"/>
      <c r="G936" s="350"/>
      <c r="H936" s="350"/>
      <c r="I936" s="350"/>
      <c r="J936" s="352"/>
      <c r="K936" s="122"/>
    </row>
    <row r="937" spans="1:11" ht="12.75">
      <c r="A937" s="349">
        <v>426413</v>
      </c>
      <c r="B937" s="356"/>
      <c r="C937" s="349" t="s">
        <v>68</v>
      </c>
      <c r="D937" s="350"/>
      <c r="E937" s="350"/>
      <c r="F937" s="350"/>
      <c r="G937" s="350"/>
      <c r="H937" s="350"/>
      <c r="I937" s="350"/>
      <c r="J937" s="352"/>
      <c r="K937" s="122"/>
    </row>
    <row r="938" spans="1:11" ht="12.75">
      <c r="A938" s="369"/>
      <c r="B938" s="368"/>
      <c r="C938" s="369" t="s">
        <v>181</v>
      </c>
      <c r="D938" s="350"/>
      <c r="E938" s="350"/>
      <c r="F938" s="350"/>
      <c r="G938" s="350"/>
      <c r="H938" s="350"/>
      <c r="I938" s="350"/>
      <c r="J938" s="352"/>
      <c r="K938" s="122"/>
    </row>
    <row r="939" spans="1:11" ht="12.75">
      <c r="A939" s="369"/>
      <c r="B939" s="368"/>
      <c r="C939" s="369" t="s">
        <v>182</v>
      </c>
      <c r="D939" s="357">
        <f>D940+D941+D942</f>
        <v>1408503.96</v>
      </c>
      <c r="E939" s="357">
        <v>5502758.92</v>
      </c>
      <c r="F939" s="357">
        <f>757008.88</f>
        <v>757008.88</v>
      </c>
      <c r="G939" s="357">
        <v>2800000</v>
      </c>
      <c r="H939" s="357">
        <f>SUM(D939:G939)</f>
        <v>10468271.76</v>
      </c>
      <c r="I939" s="357">
        <v>11156000</v>
      </c>
      <c r="J939" s="354">
        <v>11156000</v>
      </c>
      <c r="K939" s="134"/>
    </row>
    <row r="940" spans="1:11" ht="12.75">
      <c r="A940" s="349">
        <v>4267111</v>
      </c>
      <c r="B940" s="352"/>
      <c r="C940" s="349" t="s">
        <v>70</v>
      </c>
      <c r="D940" s="350">
        <v>140007</v>
      </c>
      <c r="E940" s="350"/>
      <c r="F940" s="350"/>
      <c r="G940" s="350"/>
      <c r="H940" s="350"/>
      <c r="I940" s="350"/>
      <c r="J940" s="352"/>
      <c r="K940" s="122"/>
    </row>
    <row r="941" spans="1:11" ht="12.75">
      <c r="A941" s="349">
        <v>4267112</v>
      </c>
      <c r="B941" s="352"/>
      <c r="C941" s="349" t="s">
        <v>71</v>
      </c>
      <c r="D941" s="350">
        <v>436301.89</v>
      </c>
      <c r="E941" s="350"/>
      <c r="F941" s="350"/>
      <c r="G941" s="350"/>
      <c r="H941" s="350"/>
      <c r="I941" s="350"/>
      <c r="J941" s="352"/>
      <c r="K941" s="122"/>
    </row>
    <row r="942" spans="1:11" ht="12.75">
      <c r="A942" s="349">
        <v>426721</v>
      </c>
      <c r="B942" s="352"/>
      <c r="C942" s="349" t="s">
        <v>73</v>
      </c>
      <c r="D942" s="350">
        <v>832195.07</v>
      </c>
      <c r="E942" s="350"/>
      <c r="F942" s="350"/>
      <c r="G942" s="350"/>
      <c r="H942" s="350"/>
      <c r="I942" s="350"/>
      <c r="J942" s="352"/>
      <c r="K942" s="122"/>
    </row>
    <row r="943" spans="1:11" ht="12.75">
      <c r="A943" s="349"/>
      <c r="B943" s="354"/>
      <c r="C943" s="369" t="s">
        <v>183</v>
      </c>
      <c r="D943" s="357">
        <f>D944+D945</f>
        <v>1520929.8900000001</v>
      </c>
      <c r="E943" s="357">
        <v>7246073.25</v>
      </c>
      <c r="F943" s="357">
        <f>269168.59</f>
        <v>269168.59</v>
      </c>
      <c r="G943" s="357">
        <v>3600000</v>
      </c>
      <c r="H943" s="357">
        <f>SUM(D943:G943)</f>
        <v>12636171.73</v>
      </c>
      <c r="I943" s="358">
        <v>14155000</v>
      </c>
      <c r="J943" s="354">
        <v>14155000</v>
      </c>
      <c r="K943" s="122"/>
    </row>
    <row r="944" spans="1:11" ht="12.75">
      <c r="A944" s="349">
        <v>4267510</v>
      </c>
      <c r="B944" s="352"/>
      <c r="C944" s="349" t="s">
        <v>75</v>
      </c>
      <c r="D944" s="350">
        <v>1143661.06</v>
      </c>
      <c r="E944" s="350"/>
      <c r="F944" s="350"/>
      <c r="G944" s="350"/>
      <c r="H944" s="350"/>
      <c r="I944" s="351"/>
      <c r="J944" s="352"/>
      <c r="K944" s="122"/>
    </row>
    <row r="945" spans="1:11" ht="12.75">
      <c r="A945" s="349">
        <v>4267511</v>
      </c>
      <c r="B945" s="352"/>
      <c r="C945" s="349" t="s">
        <v>74</v>
      </c>
      <c r="D945" s="350">
        <v>377268.83</v>
      </c>
      <c r="E945" s="350"/>
      <c r="F945" s="350"/>
      <c r="G945" s="350"/>
      <c r="H945" s="350"/>
      <c r="I945" s="351"/>
      <c r="J945" s="352"/>
      <c r="K945" s="122"/>
    </row>
    <row r="946" spans="1:11" ht="12.75">
      <c r="A946" s="349"/>
      <c r="B946" s="354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39" t="s">
        <v>271</v>
      </c>
      <c r="B947" s="339"/>
      <c r="C947" s="339"/>
      <c r="D947" s="339"/>
      <c r="E947" s="340"/>
      <c r="F947" s="340"/>
      <c r="G947" s="340"/>
      <c r="H947" s="341"/>
      <c r="I947" s="341"/>
      <c r="J947" s="339" t="s">
        <v>256</v>
      </c>
      <c r="K947" s="122"/>
    </row>
    <row r="948" spans="1:11" ht="45">
      <c r="A948" s="343" t="s">
        <v>0</v>
      </c>
      <c r="B948" s="343" t="s">
        <v>208</v>
      </c>
      <c r="C948" s="343" t="s">
        <v>1</v>
      </c>
      <c r="D948" s="343" t="s">
        <v>247</v>
      </c>
      <c r="E948" s="343" t="s">
        <v>248</v>
      </c>
      <c r="F948" s="344" t="s">
        <v>254</v>
      </c>
      <c r="G948" s="343" t="s">
        <v>253</v>
      </c>
      <c r="H948" s="343" t="s">
        <v>261</v>
      </c>
      <c r="I948" s="343" t="s">
        <v>201</v>
      </c>
      <c r="J948" s="343" t="s">
        <v>249</v>
      </c>
      <c r="K948" s="122"/>
    </row>
    <row r="949" spans="1:11" ht="12.75">
      <c r="A949" s="349"/>
      <c r="B949" s="352"/>
      <c r="C949" s="369" t="s">
        <v>257</v>
      </c>
      <c r="D949" s="350"/>
      <c r="E949" s="350"/>
      <c r="F949" s="350"/>
      <c r="G949" s="350"/>
      <c r="H949" s="350"/>
      <c r="I949" s="350"/>
      <c r="J949" s="352"/>
      <c r="K949" s="122"/>
    </row>
    <row r="950" spans="1:11" ht="12.75">
      <c r="A950" s="349"/>
      <c r="B950" s="352"/>
      <c r="C950" s="349" t="s">
        <v>190</v>
      </c>
      <c r="D950" s="350" t="s">
        <v>272</v>
      </c>
      <c r="E950" s="350"/>
      <c r="F950" s="350"/>
      <c r="G950" s="350"/>
      <c r="H950" s="350"/>
      <c r="I950" s="350">
        <v>4000000</v>
      </c>
      <c r="J950" s="352">
        <v>3500000</v>
      </c>
      <c r="K950" s="122"/>
    </row>
    <row r="951" spans="1:11" ht="12.75">
      <c r="A951" s="349"/>
      <c r="B951" s="352"/>
      <c r="C951" s="349" t="s">
        <v>191</v>
      </c>
      <c r="D951" s="350"/>
      <c r="E951" s="350"/>
      <c r="F951" s="350"/>
      <c r="G951" s="350"/>
      <c r="H951" s="350"/>
      <c r="I951" s="350">
        <v>1437000</v>
      </c>
      <c r="J951" s="352">
        <v>1437000</v>
      </c>
      <c r="K951" s="122"/>
    </row>
    <row r="952" spans="1:11" ht="12.75">
      <c r="A952" s="349"/>
      <c r="B952" s="352"/>
      <c r="C952" s="349" t="s">
        <v>267</v>
      </c>
      <c r="D952" s="350"/>
      <c r="E952" s="350"/>
      <c r="F952" s="350"/>
      <c r="G952" s="350"/>
      <c r="H952" s="350"/>
      <c r="I952" s="350">
        <v>2686275</v>
      </c>
      <c r="J952" s="352">
        <v>5000000</v>
      </c>
      <c r="K952" s="122"/>
    </row>
    <row r="953" spans="1:11" ht="12.75">
      <c r="A953" s="349"/>
      <c r="B953" s="352"/>
      <c r="C953" s="349" t="s">
        <v>258</v>
      </c>
      <c r="D953" s="350"/>
      <c r="E953" s="350"/>
      <c r="F953" s="350"/>
      <c r="G953" s="350"/>
      <c r="H953" s="350"/>
      <c r="I953" s="350">
        <v>1400000</v>
      </c>
      <c r="J953" s="352">
        <v>1400000</v>
      </c>
      <c r="K953" s="122"/>
    </row>
    <row r="954" spans="1:11" ht="12.75">
      <c r="A954" s="349"/>
      <c r="B954" s="352"/>
      <c r="C954" s="349" t="s">
        <v>259</v>
      </c>
      <c r="D954" s="350"/>
      <c r="E954" s="350"/>
      <c r="F954" s="350"/>
      <c r="G954" s="350"/>
      <c r="H954" s="350"/>
      <c r="I954" s="350">
        <v>4600000</v>
      </c>
      <c r="J954" s="352">
        <v>6000000</v>
      </c>
      <c r="K954" s="122"/>
    </row>
    <row r="955" spans="1:11" ht="12.75">
      <c r="A955" s="349"/>
      <c r="B955" s="349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65"/>
      <c r="B956" s="349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65"/>
      <c r="B957" s="365"/>
      <c r="C957" s="360"/>
      <c r="D957" s="361"/>
      <c r="E957" s="361"/>
      <c r="F957" s="361"/>
      <c r="G957" s="361"/>
      <c r="H957" s="361"/>
      <c r="I957" s="361"/>
      <c r="J957" s="361"/>
      <c r="K957" s="92"/>
    </row>
    <row r="958" spans="1:11" ht="12.75">
      <c r="A958" s="365"/>
      <c r="B958" s="365"/>
      <c r="C958" s="360"/>
      <c r="D958" s="361"/>
      <c r="E958" s="361"/>
      <c r="F958" s="361"/>
      <c r="G958" s="361"/>
      <c r="H958" s="361"/>
      <c r="I958" s="361"/>
      <c r="J958" s="361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352</v>
      </c>
      <c r="H1002" s="167" t="s">
        <v>351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352</v>
      </c>
      <c r="H1027" s="167" t="s">
        <v>351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352</v>
      </c>
      <c r="H1042" s="167" t="s">
        <v>351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350</v>
      </c>
      <c r="H1127" s="167" t="s">
        <v>351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350</v>
      </c>
      <c r="H1140" s="167" t="s">
        <v>351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350</v>
      </c>
      <c r="H1146" s="167" t="s">
        <v>351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2"/>
      <c r="B1159" s="392"/>
      <c r="C1159" s="392"/>
      <c r="D1159" s="392"/>
      <c r="E1159" s="392"/>
      <c r="F1159" s="392"/>
      <c r="G1159" s="392"/>
      <c r="H1159" s="392"/>
      <c r="I1159" s="392"/>
      <c r="J1159" s="392"/>
    </row>
    <row r="1160" spans="1:10" ht="12.75">
      <c r="A1160" s="392"/>
      <c r="B1160" s="392"/>
      <c r="C1160" s="392"/>
      <c r="D1160" s="392"/>
      <c r="E1160" s="392"/>
      <c r="F1160" s="392"/>
      <c r="G1160" s="392"/>
      <c r="H1160" s="392"/>
      <c r="I1160" s="392"/>
      <c r="J1160" s="392"/>
    </row>
    <row r="1161" spans="1:10" ht="12.75">
      <c r="A1161" s="393"/>
      <c r="B1161" s="393"/>
      <c r="C1161" s="394" t="s">
        <v>281</v>
      </c>
      <c r="D1161" s="394"/>
      <c r="E1161" s="394"/>
      <c r="F1161" s="394"/>
      <c r="G1161" s="393"/>
      <c r="H1161" s="393"/>
      <c r="I1161" s="393"/>
      <c r="J1161" s="393"/>
    </row>
    <row r="1162" spans="1:10" ht="12.75">
      <c r="A1162" s="395" t="s">
        <v>270</v>
      </c>
      <c r="B1162" s="395"/>
      <c r="C1162" s="395"/>
      <c r="D1162" s="395"/>
      <c r="E1162" s="395"/>
      <c r="F1162" s="395"/>
      <c r="G1162" s="395"/>
      <c r="H1162" s="395"/>
      <c r="I1162" s="395" t="s">
        <v>311</v>
      </c>
      <c r="J1162" s="392"/>
    </row>
    <row r="1163" spans="1:10" ht="45">
      <c r="A1163" s="396" t="s">
        <v>0</v>
      </c>
      <c r="B1163" s="396" t="s">
        <v>208</v>
      </c>
      <c r="C1163" s="396" t="s">
        <v>1</v>
      </c>
      <c r="D1163" s="396" t="s">
        <v>247</v>
      </c>
      <c r="E1163" s="396" t="s">
        <v>248</v>
      </c>
      <c r="F1163" s="396" t="s">
        <v>254</v>
      </c>
      <c r="G1163" s="396" t="s">
        <v>253</v>
      </c>
      <c r="H1163" s="396" t="s">
        <v>261</v>
      </c>
      <c r="I1163" s="396" t="s">
        <v>201</v>
      </c>
      <c r="J1163" s="396" t="s">
        <v>249</v>
      </c>
    </row>
    <row r="1164" spans="1:10" s="11" customFormat="1" ht="12.75">
      <c r="A1164" s="397">
        <v>4111</v>
      </c>
      <c r="B1164" s="398">
        <f>J1164*100/281336000</f>
        <v>0</v>
      </c>
      <c r="C1164" s="399" t="s">
        <v>92</v>
      </c>
      <c r="D1164" s="399">
        <v>77884983.26</v>
      </c>
      <c r="E1164" s="399"/>
      <c r="F1164" s="399"/>
      <c r="G1164" s="398"/>
      <c r="H1164" s="398"/>
      <c r="I1164" s="398"/>
      <c r="J1164" s="398"/>
    </row>
    <row r="1165" spans="1:10" s="11" customFormat="1" ht="12.75">
      <c r="A1165" s="397">
        <v>4121</v>
      </c>
      <c r="B1165" s="398">
        <f aca="true" t="shared" si="45" ref="B1165:B1200">J1165*100/281336000</f>
        <v>0</v>
      </c>
      <c r="C1165" s="399" t="s">
        <v>94</v>
      </c>
      <c r="D1165" s="399">
        <v>9006347.7</v>
      </c>
      <c r="E1165" s="399"/>
      <c r="F1165" s="399"/>
      <c r="G1165" s="398"/>
      <c r="H1165" s="398"/>
      <c r="I1165" s="398"/>
      <c r="J1165" s="398"/>
    </row>
    <row r="1166" spans="1:10" s="11" customFormat="1" ht="12.75">
      <c r="A1166" s="397">
        <v>4122</v>
      </c>
      <c r="B1166" s="398">
        <f t="shared" si="45"/>
        <v>0</v>
      </c>
      <c r="C1166" s="399" t="s">
        <v>14</v>
      </c>
      <c r="D1166" s="399">
        <v>4802370.03</v>
      </c>
      <c r="E1166" s="399"/>
      <c r="F1166" s="399"/>
      <c r="G1166" s="398"/>
      <c r="H1166" s="398"/>
      <c r="I1166" s="398"/>
      <c r="J1166" s="398"/>
    </row>
    <row r="1167" spans="1:10" s="11" customFormat="1" ht="12.75">
      <c r="A1167" s="397">
        <v>4123</v>
      </c>
      <c r="B1167" s="398">
        <f t="shared" si="45"/>
        <v>0</v>
      </c>
      <c r="C1167" s="399" t="s">
        <v>96</v>
      </c>
      <c r="D1167" s="399">
        <v>585654.88</v>
      </c>
      <c r="E1167" s="399"/>
      <c r="F1167" s="399"/>
      <c r="G1167" s="398"/>
      <c r="H1167" s="398"/>
      <c r="I1167" s="398"/>
      <c r="J1167" s="398"/>
    </row>
    <row r="1168" spans="1:10" s="11" customFormat="1" ht="12.75">
      <c r="A1168" s="397"/>
      <c r="B1168" s="398">
        <f t="shared" si="45"/>
        <v>79.52057326470839</v>
      </c>
      <c r="C1168" s="398" t="s">
        <v>255</v>
      </c>
      <c r="D1168" s="398">
        <v>92279355.87</v>
      </c>
      <c r="E1168" s="398"/>
      <c r="F1168" s="398"/>
      <c r="G1168" s="398">
        <f>4000000+127400000</f>
        <v>131400000</v>
      </c>
      <c r="H1168" s="398">
        <f>SUM(D1168:G1168)</f>
        <v>223679355.87</v>
      </c>
      <c r="I1168" s="398">
        <f>187186000+3930000+29100425</f>
        <v>220216425</v>
      </c>
      <c r="J1168" s="398">
        <f>7500000+216220000</f>
        <v>223720000</v>
      </c>
    </row>
    <row r="1169" spans="1:10" s="11" customFormat="1" ht="12.75">
      <c r="A1169" s="397">
        <v>4131</v>
      </c>
      <c r="B1169" s="398">
        <f t="shared" si="45"/>
        <v>1.55685728097364</v>
      </c>
      <c r="C1169" s="398" t="s">
        <v>178</v>
      </c>
      <c r="D1169" s="398">
        <v>1978111.77</v>
      </c>
      <c r="E1169" s="398">
        <v>10920</v>
      </c>
      <c r="F1169" s="398"/>
      <c r="G1169" s="398">
        <f>190000+2000000</f>
        <v>2190000</v>
      </c>
      <c r="H1169" s="398">
        <f aca="true" t="shared" si="46" ref="H1169:H1200">SUM(D1169:G1169)</f>
        <v>4179031.77</v>
      </c>
      <c r="I1169" s="398">
        <f>337300+4025000</f>
        <v>4362300</v>
      </c>
      <c r="J1169" s="398">
        <f>380000+4000000</f>
        <v>4380000</v>
      </c>
    </row>
    <row r="1170" spans="1:10" s="11" customFormat="1" ht="12.75">
      <c r="A1170" s="397">
        <v>4141</v>
      </c>
      <c r="B1170" s="398">
        <f t="shared" si="45"/>
        <v>1.0663406034066027</v>
      </c>
      <c r="C1170" s="398" t="s">
        <v>98</v>
      </c>
      <c r="D1170" s="398">
        <v>1497473.73</v>
      </c>
      <c r="E1170" s="398"/>
      <c r="F1170" s="398"/>
      <c r="G1170" s="398">
        <v>1500000</v>
      </c>
      <c r="H1170" s="398">
        <f t="shared" si="46"/>
        <v>2997473.73</v>
      </c>
      <c r="I1170" s="398">
        <v>3000000</v>
      </c>
      <c r="J1170" s="398">
        <v>3000000</v>
      </c>
    </row>
    <row r="1171" spans="1:10" s="11" customFormat="1" ht="12.75">
      <c r="A1171" s="397"/>
      <c r="B1171" s="398">
        <f t="shared" si="45"/>
        <v>5.879091193448403</v>
      </c>
      <c r="C1171" s="398" t="s">
        <v>179</v>
      </c>
      <c r="D1171" s="398">
        <v>4865258.98</v>
      </c>
      <c r="E1171" s="398">
        <f>E1172+E1173+E1174+E1175+E1176+E1177+E1178+E1179+E1180+E1181+E1182+E1183+E1184+E1185+E1186+E1187+E1188+E1189+E1190+E1191+E1192+E1193+E1194+E1194+E1195+E1196</f>
        <v>2752905.9499999997</v>
      </c>
      <c r="F1171" s="398">
        <f>F1172+F1173+F1174+F1175+F1176+F1177+F1178+F1179+F1180+F1181+F1182+F1183+F1184+F1185+F1186+F1187+F1188+F1189+F1190+F1191+F1192+F1193+F1194+F1194+F1195+F1196</f>
        <v>65578.55</v>
      </c>
      <c r="G1171" s="398">
        <f>G1172+G1173+G1174+G1175+G1176+G1177+G1178+G1179+G1180+G1181+G1182+G1183+G1184+G1185+G1186+G1187+G1188+G1189+G1190+G1191+G1192+G1193+G1194+G1194+G1195+G1196</f>
        <v>8676350</v>
      </c>
      <c r="H1171" s="398">
        <f t="shared" si="46"/>
        <v>16360093.48</v>
      </c>
      <c r="I1171" s="398">
        <f>I1173+I1174+I1175+I1176+I1178+I1181+I1182+I1184+I1185+I1186+I1187+I1188+I1190+I1191+I1192+I1195+1530000</f>
        <v>15222000</v>
      </c>
      <c r="J1171" s="398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397">
        <v>4143</v>
      </c>
      <c r="B1172" s="398">
        <f t="shared" si="45"/>
        <v>0.48696220888901526</v>
      </c>
      <c r="C1172" s="399" t="s">
        <v>99</v>
      </c>
      <c r="D1172" s="399">
        <v>466629</v>
      </c>
      <c r="E1172" s="399">
        <f>44803.94</f>
        <v>44803.94</v>
      </c>
      <c r="F1172" s="399"/>
      <c r="G1172" s="399">
        <f>300000+550000</f>
        <v>850000</v>
      </c>
      <c r="H1172" s="399">
        <f t="shared" si="46"/>
        <v>1361432.94</v>
      </c>
      <c r="I1172" s="399"/>
      <c r="J1172" s="399">
        <f>650000+720000</f>
        <v>1370000</v>
      </c>
    </row>
    <row r="1173" spans="1:10" s="11" customFormat="1" ht="12.75">
      <c r="A1173" s="397">
        <v>4211</v>
      </c>
      <c r="B1173" s="398">
        <f t="shared" si="45"/>
        <v>0.2772485568857167</v>
      </c>
      <c r="C1173" s="399" t="s">
        <v>101</v>
      </c>
      <c r="D1173" s="399">
        <v>329191.55</v>
      </c>
      <c r="E1173" s="399"/>
      <c r="F1173" s="399"/>
      <c r="G1173" s="399">
        <f>50000+400000</f>
        <v>450000</v>
      </c>
      <c r="H1173" s="399">
        <f t="shared" si="46"/>
        <v>779191.55</v>
      </c>
      <c r="I1173" s="399">
        <v>400000</v>
      </c>
      <c r="J1173" s="399">
        <f>100000+680000</f>
        <v>780000</v>
      </c>
    </row>
    <row r="1174" spans="1:10" s="11" customFormat="1" ht="12.75">
      <c r="A1174" s="397">
        <v>4213</v>
      </c>
      <c r="B1174" s="398">
        <f t="shared" si="45"/>
        <v>0.5722694571615435</v>
      </c>
      <c r="C1174" s="399" t="s">
        <v>103</v>
      </c>
      <c r="D1174" s="399">
        <v>626053.05</v>
      </c>
      <c r="E1174" s="399">
        <v>413093.13</v>
      </c>
      <c r="F1174" s="399">
        <v>9810.89</v>
      </c>
      <c r="G1174" s="399">
        <f>50000+500000</f>
        <v>550000</v>
      </c>
      <c r="H1174" s="399">
        <f t="shared" si="46"/>
        <v>1598957.07</v>
      </c>
      <c r="I1174" s="399">
        <v>1150000</v>
      </c>
      <c r="J1174" s="399">
        <f>110000+1500000</f>
        <v>1610000</v>
      </c>
    </row>
    <row r="1175" spans="1:10" s="11" customFormat="1" ht="12.75">
      <c r="A1175" s="397">
        <v>4214</v>
      </c>
      <c r="B1175" s="398">
        <f t="shared" si="45"/>
        <v>0.2310404640714306</v>
      </c>
      <c r="C1175" s="399" t="s">
        <v>104</v>
      </c>
      <c r="D1175" s="399">
        <v>113000.52</v>
      </c>
      <c r="E1175" s="399">
        <f>239126.67+227424.36</f>
        <v>466551.03</v>
      </c>
      <c r="F1175" s="399">
        <v>9521.72</v>
      </c>
      <c r="G1175" s="399">
        <v>60000</v>
      </c>
      <c r="H1175" s="399">
        <f t="shared" si="46"/>
        <v>649073.27</v>
      </c>
      <c r="I1175" s="399">
        <f>600000</f>
        <v>600000</v>
      </c>
      <c r="J1175" s="399">
        <v>650000</v>
      </c>
    </row>
    <row r="1176" spans="1:11" s="11" customFormat="1" ht="12.75">
      <c r="A1176" s="397">
        <v>4215</v>
      </c>
      <c r="B1176" s="398">
        <f t="shared" si="45"/>
        <v>0.5687149884835215</v>
      </c>
      <c r="C1176" s="399" t="s">
        <v>169</v>
      </c>
      <c r="D1176" s="399">
        <v>670269.07</v>
      </c>
      <c r="E1176" s="399">
        <f>159178.35</f>
        <v>159178.35</v>
      </c>
      <c r="F1176" s="399"/>
      <c r="G1176" s="399">
        <v>770350</v>
      </c>
      <c r="H1176" s="399">
        <f t="shared" si="46"/>
        <v>1599797.42</v>
      </c>
      <c r="I1176" s="399">
        <v>2210000</v>
      </c>
      <c r="J1176" s="399">
        <v>1600000</v>
      </c>
      <c r="K1176" s="217"/>
    </row>
    <row r="1177" spans="1:10" s="11" customFormat="1" ht="12.75">
      <c r="A1177" s="397">
        <v>4221</v>
      </c>
      <c r="B1177" s="398">
        <f t="shared" si="45"/>
        <v>0.11018852901868229</v>
      </c>
      <c r="C1177" s="399" t="s">
        <v>105</v>
      </c>
      <c r="D1177" s="399">
        <v>87806.81</v>
      </c>
      <c r="E1177" s="399"/>
      <c r="F1177" s="399"/>
      <c r="G1177" s="399">
        <f>120000+100000</f>
        <v>220000</v>
      </c>
      <c r="H1177" s="399">
        <f t="shared" si="46"/>
        <v>307806.81</v>
      </c>
      <c r="I1177" s="399"/>
      <c r="J1177" s="399">
        <f>210000+100000</f>
        <v>310000</v>
      </c>
    </row>
    <row r="1178" spans="1:10" s="11" customFormat="1" ht="12.75">
      <c r="A1178" s="397">
        <v>4232</v>
      </c>
      <c r="B1178" s="398">
        <f t="shared" si="45"/>
        <v>0.06611311741120937</v>
      </c>
      <c r="C1178" s="399" t="s">
        <v>106</v>
      </c>
      <c r="D1178" s="399">
        <v>68748</v>
      </c>
      <c r="E1178" s="399">
        <f>4374.66</f>
        <v>4374.66</v>
      </c>
      <c r="F1178" s="399"/>
      <c r="G1178" s="399">
        <f>26000+80000</f>
        <v>106000</v>
      </c>
      <c r="H1178" s="399">
        <f t="shared" si="46"/>
        <v>179122.66</v>
      </c>
      <c r="I1178" s="399">
        <v>100000</v>
      </c>
      <c r="J1178" s="399">
        <v>186000</v>
      </c>
    </row>
    <row r="1179" spans="1:10" s="11" customFormat="1" ht="12.75">
      <c r="A1179" s="397">
        <v>4233</v>
      </c>
      <c r="B1179" s="398">
        <f t="shared" si="45"/>
        <v>0.10663406034066028</v>
      </c>
      <c r="C1179" s="399" t="s">
        <v>107</v>
      </c>
      <c r="D1179" s="399">
        <v>155027.99</v>
      </c>
      <c r="E1179" s="399"/>
      <c r="F1179" s="399"/>
      <c r="G1179" s="399">
        <v>150000</v>
      </c>
      <c r="H1179" s="399">
        <f t="shared" si="46"/>
        <v>305027.99</v>
      </c>
      <c r="I1179" s="399"/>
      <c r="J1179" s="399">
        <f>300000</f>
        <v>300000</v>
      </c>
    </row>
    <row r="1180" spans="1:10" s="11" customFormat="1" ht="12.75">
      <c r="A1180" s="397">
        <v>4234</v>
      </c>
      <c r="B1180" s="398">
        <f t="shared" si="45"/>
        <v>0.046208092814286124</v>
      </c>
      <c r="C1180" s="399" t="s">
        <v>108</v>
      </c>
      <c r="D1180" s="399">
        <v>60480.43</v>
      </c>
      <c r="E1180" s="399">
        <v>3402</v>
      </c>
      <c r="F1180" s="399">
        <v>10000</v>
      </c>
      <c r="G1180" s="399">
        <v>60000</v>
      </c>
      <c r="H1180" s="399">
        <f t="shared" si="46"/>
        <v>133882.43</v>
      </c>
      <c r="I1180" s="399"/>
      <c r="J1180" s="399">
        <f>130000</f>
        <v>130000</v>
      </c>
    </row>
    <row r="1181" spans="1:10" s="11" customFormat="1" ht="12.75">
      <c r="A1181" s="397">
        <v>4235</v>
      </c>
      <c r="B1181" s="398">
        <f t="shared" si="45"/>
        <v>0.3199021810219808</v>
      </c>
      <c r="C1181" s="399" t="s">
        <v>109</v>
      </c>
      <c r="D1181" s="399">
        <v>189790.15</v>
      </c>
      <c r="E1181" s="399">
        <v>23750</v>
      </c>
      <c r="F1181" s="399">
        <v>15000</v>
      </c>
      <c r="G1181" s="399">
        <f>180000+500000</f>
        <v>680000</v>
      </c>
      <c r="H1181" s="399">
        <f t="shared" si="46"/>
        <v>908540.15</v>
      </c>
      <c r="I1181" s="399">
        <v>50000</v>
      </c>
      <c r="J1181" s="399">
        <f>400000+500000</f>
        <v>900000</v>
      </c>
    </row>
    <row r="1182" spans="1:10" s="11" customFormat="1" ht="12.75">
      <c r="A1182" s="397">
        <v>4236</v>
      </c>
      <c r="B1182" s="398">
        <f t="shared" si="45"/>
        <v>0.6575767054340718</v>
      </c>
      <c r="C1182" s="399" t="s">
        <v>110</v>
      </c>
      <c r="D1182" s="399">
        <v>612933.3</v>
      </c>
      <c r="E1182" s="399">
        <f>362597.22</f>
        <v>362597.22</v>
      </c>
      <c r="F1182" s="399"/>
      <c r="G1182" s="399">
        <f>880000</f>
        <v>880000</v>
      </c>
      <c r="H1182" s="399">
        <f t="shared" si="46"/>
        <v>1855530.52</v>
      </c>
      <c r="I1182" s="399">
        <v>2800000</v>
      </c>
      <c r="J1182" s="399">
        <v>1850000</v>
      </c>
    </row>
    <row r="1183" spans="1:10" s="11" customFormat="1" ht="12.75">
      <c r="A1183" s="397">
        <v>4237</v>
      </c>
      <c r="B1183" s="398">
        <f t="shared" si="45"/>
        <v>0.0390991554582421</v>
      </c>
      <c r="C1183" s="399" t="s">
        <v>47</v>
      </c>
      <c r="D1183" s="399">
        <v>6768.34</v>
      </c>
      <c r="E1183" s="399"/>
      <c r="F1183" s="399"/>
      <c r="G1183" s="399">
        <f>100000</f>
        <v>100000</v>
      </c>
      <c r="H1183" s="399">
        <f t="shared" si="46"/>
        <v>106768.34</v>
      </c>
      <c r="I1183" s="399"/>
      <c r="J1183" s="399">
        <f>110000</f>
        <v>110000</v>
      </c>
    </row>
    <row r="1184" spans="1:10" s="11" customFormat="1" ht="12.75">
      <c r="A1184" s="397">
        <v>4239</v>
      </c>
      <c r="B1184" s="398">
        <f t="shared" si="45"/>
        <v>0.14217874712088038</v>
      </c>
      <c r="C1184" s="399" t="s">
        <v>48</v>
      </c>
      <c r="D1184" s="399">
        <v>26048</v>
      </c>
      <c r="E1184" s="399">
        <v>111073.64</v>
      </c>
      <c r="F1184" s="399"/>
      <c r="G1184" s="399">
        <f>80000+170000</f>
        <v>250000</v>
      </c>
      <c r="H1184" s="399">
        <f t="shared" si="46"/>
        <v>387121.64</v>
      </c>
      <c r="I1184" s="399">
        <v>150000</v>
      </c>
      <c r="J1184" s="399">
        <f>200000+200000</f>
        <v>400000</v>
      </c>
    </row>
    <row r="1185" spans="1:10" s="11" customFormat="1" ht="12.75">
      <c r="A1185" s="397">
        <v>4243</v>
      </c>
      <c r="B1185" s="398">
        <f t="shared" si="45"/>
        <v>0.12440640373077032</v>
      </c>
      <c r="C1185" s="399" t="s">
        <v>111</v>
      </c>
      <c r="D1185" s="399">
        <v>0</v>
      </c>
      <c r="E1185" s="399">
        <f>41800</f>
        <v>41800</v>
      </c>
      <c r="F1185" s="399"/>
      <c r="G1185" s="399">
        <v>300000</v>
      </c>
      <c r="H1185" s="399">
        <f t="shared" si="46"/>
        <v>341800</v>
      </c>
      <c r="I1185" s="399">
        <v>120000</v>
      </c>
      <c r="J1185" s="399">
        <v>350000</v>
      </c>
    </row>
    <row r="1186" spans="1:10" s="11" customFormat="1" ht="12.75">
      <c r="A1186" s="397">
        <v>4251</v>
      </c>
      <c r="B1186" s="398">
        <f t="shared" si="45"/>
        <v>0.373219211192311</v>
      </c>
      <c r="C1186" s="399" t="s">
        <v>112</v>
      </c>
      <c r="D1186" s="399">
        <v>56775.46</v>
      </c>
      <c r="E1186" s="399"/>
      <c r="F1186" s="399"/>
      <c r="G1186" s="399">
        <f>980000+280000</f>
        <v>1260000</v>
      </c>
      <c r="H1186" s="399">
        <f t="shared" si="46"/>
        <v>1316775.46</v>
      </c>
      <c r="I1186" s="399">
        <v>162000</v>
      </c>
      <c r="J1186" s="399">
        <f>1050000</f>
        <v>1050000</v>
      </c>
    </row>
    <row r="1187" spans="1:10" s="11" customFormat="1" ht="12.75">
      <c r="A1187" s="397">
        <v>4252</v>
      </c>
      <c r="B1187" s="398">
        <f t="shared" si="45"/>
        <v>0.4229817726846191</v>
      </c>
      <c r="C1187" s="399" t="s">
        <v>113</v>
      </c>
      <c r="D1187" s="399">
        <v>260781.8</v>
      </c>
      <c r="E1187" s="399">
        <f>244802.6</f>
        <v>244802.6</v>
      </c>
      <c r="F1187" s="399"/>
      <c r="G1187" s="399">
        <f>400000</f>
        <v>400000</v>
      </c>
      <c r="H1187" s="399">
        <f t="shared" si="46"/>
        <v>905584.4</v>
      </c>
      <c r="I1187" s="399">
        <v>2200000</v>
      </c>
      <c r="J1187" s="399">
        <f>110000+800000+280000</f>
        <v>1190000</v>
      </c>
    </row>
    <row r="1188" spans="1:10" s="11" customFormat="1" ht="12.75">
      <c r="A1188" s="397">
        <v>4261</v>
      </c>
      <c r="B1188" s="398">
        <f t="shared" si="45"/>
        <v>0.5331703017033014</v>
      </c>
      <c r="C1188" s="399" t="s">
        <v>114</v>
      </c>
      <c r="D1188" s="399">
        <v>453318.08</v>
      </c>
      <c r="E1188" s="399">
        <f>489982.16</f>
        <v>489982.16</v>
      </c>
      <c r="F1188" s="399"/>
      <c r="G1188" s="399">
        <f>500000</f>
        <v>500000</v>
      </c>
      <c r="H1188" s="399">
        <f t="shared" si="46"/>
        <v>1443300.24</v>
      </c>
      <c r="I1188" s="399">
        <v>1150000</v>
      </c>
      <c r="J1188" s="399">
        <v>1500000</v>
      </c>
    </row>
    <row r="1189" spans="1:10" s="11" customFormat="1" ht="12.75">
      <c r="A1189" s="397">
        <v>4263</v>
      </c>
      <c r="B1189" s="398">
        <f t="shared" si="45"/>
        <v>0.05331703017033014</v>
      </c>
      <c r="C1189" s="399" t="s">
        <v>115</v>
      </c>
      <c r="D1189" s="399">
        <v>77900</v>
      </c>
      <c r="E1189" s="399"/>
      <c r="F1189" s="399"/>
      <c r="G1189" s="399">
        <v>70000</v>
      </c>
      <c r="H1189" s="399">
        <f t="shared" si="46"/>
        <v>147900</v>
      </c>
      <c r="I1189" s="399"/>
      <c r="J1189" s="399">
        <f>150000</f>
        <v>150000</v>
      </c>
    </row>
    <row r="1190" spans="1:10" s="11" customFormat="1" ht="12.75">
      <c r="A1190" s="397">
        <v>4264</v>
      </c>
      <c r="B1190" s="398">
        <f t="shared" si="45"/>
        <v>0.3021298376318708</v>
      </c>
      <c r="C1190" s="399" t="s">
        <v>116</v>
      </c>
      <c r="D1190" s="399">
        <v>293820.82</v>
      </c>
      <c r="E1190" s="399">
        <f>158684.04</f>
        <v>158684.04</v>
      </c>
      <c r="F1190" s="399"/>
      <c r="G1190" s="399">
        <f>400000</f>
        <v>400000</v>
      </c>
      <c r="H1190" s="399">
        <f t="shared" si="46"/>
        <v>852504.86</v>
      </c>
      <c r="I1190" s="399"/>
      <c r="J1190" s="399">
        <v>850000</v>
      </c>
    </row>
    <row r="1191" spans="1:10" s="11" customFormat="1" ht="12.75">
      <c r="A1191" s="397">
        <v>4268</v>
      </c>
      <c r="B1191" s="398">
        <f t="shared" si="45"/>
        <v>0.10663406034066028</v>
      </c>
      <c r="C1191" s="399" t="s">
        <v>118</v>
      </c>
      <c r="D1191" s="399">
        <v>76558.97</v>
      </c>
      <c r="E1191" s="399">
        <f>4172.48</f>
        <v>4172.48</v>
      </c>
      <c r="F1191" s="399"/>
      <c r="G1191" s="399">
        <f>220000</f>
        <v>220000</v>
      </c>
      <c r="H1191" s="399">
        <f t="shared" si="46"/>
        <v>300731.45</v>
      </c>
      <c r="I1191" s="399">
        <v>300000</v>
      </c>
      <c r="J1191" s="399">
        <v>300000</v>
      </c>
    </row>
    <row r="1192" spans="1:10" s="11" customFormat="1" ht="12.75">
      <c r="A1192" s="397">
        <v>4269</v>
      </c>
      <c r="B1192" s="398">
        <f t="shared" si="45"/>
        <v>0.1954957772912105</v>
      </c>
      <c r="C1192" s="399" t="s">
        <v>119</v>
      </c>
      <c r="D1192" s="399">
        <v>84536</v>
      </c>
      <c r="E1192" s="399">
        <f>175274.69</f>
        <v>175274.69</v>
      </c>
      <c r="F1192" s="399"/>
      <c r="G1192" s="399">
        <f>230000</f>
        <v>230000</v>
      </c>
      <c r="H1192" s="399">
        <f t="shared" si="46"/>
        <v>489810.69</v>
      </c>
      <c r="I1192" s="399">
        <v>100000</v>
      </c>
      <c r="J1192" s="399">
        <f>50000+500000</f>
        <v>550000</v>
      </c>
    </row>
    <row r="1193" spans="1:10" s="11" customFormat="1" ht="12.75">
      <c r="A1193" s="397">
        <v>4442</v>
      </c>
      <c r="B1193" s="398">
        <f t="shared" si="45"/>
        <v>0.035544686780220096</v>
      </c>
      <c r="C1193" s="399" t="s">
        <v>85</v>
      </c>
      <c r="D1193" s="399">
        <v>5347.14</v>
      </c>
      <c r="E1193" s="399">
        <v>47605.61</v>
      </c>
      <c r="F1193" s="399">
        <v>21245.94</v>
      </c>
      <c r="G1193" s="399">
        <v>20000</v>
      </c>
      <c r="H1193" s="399">
        <f t="shared" si="46"/>
        <v>94198.69</v>
      </c>
      <c r="I1193" s="399"/>
      <c r="J1193" s="399">
        <v>100000</v>
      </c>
    </row>
    <row r="1194" spans="1:10" s="11" customFormat="1" ht="12.75">
      <c r="A1194" s="397">
        <v>4821</v>
      </c>
      <c r="B1194" s="398">
        <f t="shared" si="45"/>
        <v>0.0014217874712088036</v>
      </c>
      <c r="C1194" s="399" t="s">
        <v>87</v>
      </c>
      <c r="D1194" s="399">
        <v>3142.5</v>
      </c>
      <c r="E1194" s="399"/>
      <c r="F1194" s="399"/>
      <c r="G1194" s="399"/>
      <c r="H1194" s="399">
        <f t="shared" si="46"/>
        <v>3142.5</v>
      </c>
      <c r="I1194" s="399"/>
      <c r="J1194" s="399">
        <v>4000</v>
      </c>
    </row>
    <row r="1195" spans="1:10" s="11" customFormat="1" ht="12.75">
      <c r="A1195" s="397"/>
      <c r="B1195" s="398">
        <f t="shared" si="45"/>
        <v>0</v>
      </c>
      <c r="C1195" s="399" t="s">
        <v>265</v>
      </c>
      <c r="D1195" s="399"/>
      <c r="E1195" s="399"/>
      <c r="F1195" s="399"/>
      <c r="G1195" s="399"/>
      <c r="H1195" s="399">
        <f t="shared" si="46"/>
        <v>0</v>
      </c>
      <c r="I1195" s="399">
        <v>2200000</v>
      </c>
      <c r="J1195" s="399"/>
    </row>
    <row r="1196" spans="1:10" s="11" customFormat="1" ht="12.75">
      <c r="A1196" s="397">
        <v>4822</v>
      </c>
      <c r="B1196" s="398">
        <f t="shared" si="45"/>
        <v>0.10663406034066028</v>
      </c>
      <c r="C1196" s="399" t="s">
        <v>90</v>
      </c>
      <c r="D1196" s="399">
        <v>140332</v>
      </c>
      <c r="E1196" s="399">
        <v>1760.4</v>
      </c>
      <c r="F1196" s="399"/>
      <c r="G1196" s="399">
        <v>150000</v>
      </c>
      <c r="H1196" s="399">
        <f t="shared" si="46"/>
        <v>292092.4</v>
      </c>
      <c r="I1196" s="399"/>
      <c r="J1196" s="399">
        <f>100000+200000</f>
        <v>300000</v>
      </c>
    </row>
    <row r="1197" spans="1:10" s="11" customFormat="1" ht="12.75">
      <c r="A1197" s="397"/>
      <c r="B1197" s="398">
        <f t="shared" si="45"/>
        <v>5.002914664315978</v>
      </c>
      <c r="C1197" s="398" t="s">
        <v>180</v>
      </c>
      <c r="D1197" s="398">
        <v>2138892.28</v>
      </c>
      <c r="E1197" s="398">
        <f>3293769.29</f>
        <v>3293769.29</v>
      </c>
      <c r="F1197" s="398">
        <v>321236.36</v>
      </c>
      <c r="G1197" s="398">
        <f>8300000</f>
        <v>8300000</v>
      </c>
      <c r="H1197" s="398">
        <f t="shared" si="46"/>
        <v>14053897.93</v>
      </c>
      <c r="I1197" s="398">
        <v>14025000</v>
      </c>
      <c r="J1197" s="398">
        <f>50000+14025000</f>
        <v>14075000</v>
      </c>
    </row>
    <row r="1198" spans="1:11" s="11" customFormat="1" ht="12.75">
      <c r="A1198" s="397"/>
      <c r="B1198" s="398">
        <f t="shared" si="45"/>
        <v>3.787641823300253</v>
      </c>
      <c r="C1198" s="398" t="s">
        <v>182</v>
      </c>
      <c r="D1198" s="398">
        <v>1408503.96</v>
      </c>
      <c r="E1198" s="398">
        <f>49680.95+1243349.98+4800000</f>
        <v>6093030.93</v>
      </c>
      <c r="F1198" s="398">
        <f>267297.24+757008.88+130000</f>
        <v>1154306.12</v>
      </c>
      <c r="G1198" s="398">
        <f>2000000</f>
        <v>2000000</v>
      </c>
      <c r="H1198" s="398">
        <f t="shared" si="46"/>
        <v>10655841.01</v>
      </c>
      <c r="I1198" s="398">
        <f>5356000+5800000</f>
        <v>11156000</v>
      </c>
      <c r="J1198" s="398">
        <f>5300000+5356000</f>
        <v>10656000</v>
      </c>
      <c r="K1198" s="217"/>
    </row>
    <row r="1199" spans="1:10" s="11" customFormat="1" ht="12.75">
      <c r="A1199" s="397"/>
      <c r="B1199" s="398">
        <f t="shared" si="45"/>
        <v>3.897474905451133</v>
      </c>
      <c r="C1199" s="398" t="s">
        <v>183</v>
      </c>
      <c r="D1199" s="398">
        <v>1520929.89</v>
      </c>
      <c r="E1199" s="398">
        <f>2174901.52+5000000</f>
        <v>7174901.52</v>
      </c>
      <c r="F1199" s="398">
        <v>269168.59</v>
      </c>
      <c r="G1199" s="398">
        <f>2000000</f>
        <v>2000000</v>
      </c>
      <c r="H1199" s="398">
        <f t="shared" si="46"/>
        <v>10965000</v>
      </c>
      <c r="I1199" s="398">
        <f>5965000+8190000</f>
        <v>14155000</v>
      </c>
      <c r="J1199" s="398">
        <f>5000000+5965000</f>
        <v>10965000</v>
      </c>
    </row>
    <row r="1200" spans="1:10" s="11" customFormat="1" ht="12.75">
      <c r="A1200" s="397"/>
      <c r="B1200" s="398">
        <f t="shared" si="45"/>
        <v>100.7108937356044</v>
      </c>
      <c r="C1200" s="398" t="s">
        <v>287</v>
      </c>
      <c r="D1200" s="398">
        <v>109368695.52000001</v>
      </c>
      <c r="E1200" s="398">
        <f>E1168+E1169+E1171+E1197+E1198+E1199</f>
        <v>19325527.689999998</v>
      </c>
      <c r="F1200" s="398">
        <f>F1168+F1169+F1171+F1197+F1198+F1199</f>
        <v>1810289.62</v>
      </c>
      <c r="G1200" s="398">
        <f>G1168+G1169+G1171+G1197+G1198+G1199</f>
        <v>154566350</v>
      </c>
      <c r="H1200" s="398">
        <f t="shared" si="46"/>
        <v>285070862.83000004</v>
      </c>
      <c r="I1200" s="398">
        <f>I1199+I1198+I1197+I1171+I1170+I1169+I1168</f>
        <v>282136725</v>
      </c>
      <c r="J1200" s="398">
        <f>J1199+J1198+J1197+J1171+J1170+J1169+J1168</f>
        <v>283336000</v>
      </c>
    </row>
    <row r="1201" spans="1:10" s="11" customFormat="1" ht="12.75">
      <c r="A1201" s="395"/>
      <c r="B1201" s="400"/>
      <c r="C1201" s="400"/>
      <c r="D1201" s="400"/>
      <c r="E1201" s="400"/>
      <c r="F1201" s="400"/>
      <c r="G1201" s="400"/>
      <c r="H1201" s="400"/>
      <c r="I1201" s="400"/>
      <c r="J1201" s="400"/>
    </row>
    <row r="1202" spans="1:10" s="11" customFormat="1" ht="12.75">
      <c r="A1202" s="395"/>
      <c r="B1202" s="400"/>
      <c r="C1202" s="400"/>
      <c r="D1202" s="400"/>
      <c r="E1202" s="400"/>
      <c r="F1202" s="400"/>
      <c r="G1202" s="400"/>
      <c r="H1202" s="400"/>
      <c r="I1202" s="400"/>
      <c r="J1202" s="400"/>
    </row>
    <row r="1203" spans="1:10" s="11" customFormat="1" ht="12.75">
      <c r="A1203" s="395"/>
      <c r="B1203" s="400"/>
      <c r="C1203" s="400"/>
      <c r="D1203" s="400"/>
      <c r="E1203" s="400"/>
      <c r="F1203" s="400"/>
      <c r="G1203" s="400"/>
      <c r="H1203" s="400"/>
      <c r="I1203" s="400"/>
      <c r="J1203" s="400"/>
    </row>
    <row r="1204" spans="1:10" s="11" customFormat="1" ht="12.75">
      <c r="A1204" s="395"/>
      <c r="B1204" s="400"/>
      <c r="C1204" s="400"/>
      <c r="D1204" s="400"/>
      <c r="E1204" s="400"/>
      <c r="F1204" s="400"/>
      <c r="G1204" s="400"/>
      <c r="H1204" s="400"/>
      <c r="I1204" s="400"/>
      <c r="J1204" s="400"/>
    </row>
    <row r="1205" spans="1:10" s="11" customFormat="1" ht="12.75">
      <c r="A1205" s="395"/>
      <c r="B1205" s="400"/>
      <c r="C1205" s="394" t="s">
        <v>281</v>
      </c>
      <c r="D1205" s="394"/>
      <c r="E1205" s="394"/>
      <c r="F1205" s="394"/>
      <c r="G1205" s="393"/>
      <c r="H1205" s="400"/>
      <c r="I1205" s="401"/>
      <c r="J1205" s="401"/>
    </row>
    <row r="1206" spans="1:10" ht="12.75">
      <c r="A1206" s="395" t="s">
        <v>282</v>
      </c>
      <c r="B1206" s="400"/>
      <c r="C1206" s="400"/>
      <c r="D1206" s="400"/>
      <c r="E1206" s="400"/>
      <c r="F1206" s="400"/>
      <c r="G1206" s="400"/>
      <c r="H1206" s="400"/>
      <c r="I1206" s="400" t="s">
        <v>310</v>
      </c>
      <c r="J1206" s="400"/>
    </row>
    <row r="1207" spans="1:10" ht="45">
      <c r="A1207" s="396" t="s">
        <v>0</v>
      </c>
      <c r="B1207" s="396" t="s">
        <v>208</v>
      </c>
      <c r="C1207" s="396" t="s">
        <v>1</v>
      </c>
      <c r="D1207" s="396" t="s">
        <v>247</v>
      </c>
      <c r="E1207" s="396" t="s">
        <v>248</v>
      </c>
      <c r="F1207" s="396" t="s">
        <v>254</v>
      </c>
      <c r="G1207" s="396" t="s">
        <v>253</v>
      </c>
      <c r="H1207" s="396" t="s">
        <v>261</v>
      </c>
      <c r="I1207" s="396" t="s">
        <v>201</v>
      </c>
      <c r="J1207" s="396" t="s">
        <v>249</v>
      </c>
    </row>
    <row r="1208" spans="1:10" ht="12.75">
      <c r="A1208" s="402"/>
      <c r="B1208" s="402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2"/>
      <c r="B1209" s="402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2"/>
      <c r="B1210" s="402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2"/>
      <c r="B1211" s="402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2"/>
      <c r="B1212" s="402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2"/>
      <c r="B1213" s="402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2"/>
      <c r="B1214" s="402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2"/>
      <c r="B1215" s="402"/>
      <c r="C1215" s="398" t="s">
        <v>327</v>
      </c>
      <c r="D1215" s="398"/>
      <c r="E1215" s="398"/>
      <c r="F1215" s="398"/>
      <c r="G1215" s="398"/>
      <c r="H1215" s="398"/>
      <c r="I1215" s="398">
        <f>SUM(I1209:I1214)</f>
        <v>14937475</v>
      </c>
      <c r="J1215" s="398">
        <f>SUM(J1209:J1214)</f>
        <v>16151200</v>
      </c>
    </row>
    <row r="1216" spans="1:10" ht="12.75">
      <c r="A1216" s="402"/>
      <c r="B1216" s="402"/>
      <c r="C1216" s="398" t="s">
        <v>260</v>
      </c>
      <c r="D1216" s="398"/>
      <c r="E1216" s="398"/>
      <c r="F1216" s="398"/>
      <c r="G1216" s="398"/>
      <c r="H1216" s="398"/>
      <c r="I1216" s="398">
        <v>293260000</v>
      </c>
      <c r="J1216" s="398">
        <f>J1200+J1215</f>
        <v>299487200</v>
      </c>
    </row>
    <row r="1217" spans="1:10" ht="12.75">
      <c r="A1217" s="403"/>
      <c r="B1217" s="403"/>
      <c r="C1217" s="400"/>
      <c r="D1217" s="400"/>
      <c r="E1217" s="400"/>
      <c r="F1217" s="400"/>
      <c r="G1217" s="400"/>
      <c r="H1217" s="400"/>
      <c r="I1217" s="400"/>
      <c r="J1217" s="400"/>
    </row>
    <row r="1218" spans="1:10" ht="12.75">
      <c r="A1218" s="403"/>
      <c r="B1218" s="403"/>
      <c r="C1218" s="400"/>
      <c r="D1218" s="400"/>
      <c r="E1218" s="400"/>
      <c r="F1218" s="400"/>
      <c r="G1218" s="400"/>
      <c r="H1218" s="400"/>
      <c r="I1218" s="400"/>
      <c r="J1218" s="400"/>
    </row>
    <row r="1219" spans="1:10" ht="12.75">
      <c r="A1219" s="403"/>
      <c r="B1219" s="403"/>
      <c r="C1219" s="400"/>
      <c r="D1219" s="400"/>
      <c r="E1219" s="400"/>
      <c r="F1219" s="400"/>
      <c r="G1219" s="400"/>
      <c r="H1219" s="400"/>
      <c r="I1219" s="400"/>
      <c r="J1219" s="400"/>
    </row>
    <row r="1220" spans="1:10" ht="12.75">
      <c r="A1220" s="403"/>
      <c r="B1220" s="403"/>
      <c r="C1220" s="400"/>
      <c r="D1220" s="400"/>
      <c r="E1220" s="400"/>
      <c r="F1220" s="400"/>
      <c r="G1220" s="400"/>
      <c r="H1220" s="400"/>
      <c r="I1220" s="400"/>
      <c r="J1220" s="400"/>
    </row>
    <row r="1221" spans="1:10" ht="12.75">
      <c r="A1221" s="403"/>
      <c r="B1221" s="403"/>
      <c r="C1221" s="400"/>
      <c r="D1221" s="400"/>
      <c r="E1221" s="400"/>
      <c r="F1221" s="400"/>
      <c r="G1221" s="400"/>
      <c r="H1221" s="400"/>
      <c r="I1221" s="400"/>
      <c r="J1221" s="400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353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470" t="s">
        <v>340</v>
      </c>
      <c r="E1718" s="470"/>
      <c r="F1718" s="470"/>
      <c r="G1718" s="470" t="s">
        <v>347</v>
      </c>
      <c r="H1718" s="470"/>
      <c r="I1718" s="470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51"/>
  <sheetViews>
    <sheetView tabSelected="1" view="pageBreakPreview" zoomScale="90" zoomScaleSheetLayoutView="90" workbookViewId="0" topLeftCell="A122">
      <selection activeCell="A133" sqref="A133:IV133"/>
    </sheetView>
  </sheetViews>
  <sheetFormatPr defaultColWidth="9.140625" defaultRowHeight="12.75"/>
  <cols>
    <col min="1" max="1" width="11.00390625" style="406" customWidth="1"/>
    <col min="2" max="2" width="38.28125" style="409" customWidth="1"/>
    <col min="3" max="3" width="16.421875" style="469" customWidth="1"/>
    <col min="4" max="4" width="15.421875" style="469" customWidth="1"/>
    <col min="5" max="5" width="17.8515625" style="469" customWidth="1"/>
    <col min="6" max="6" width="15.421875" style="469" customWidth="1"/>
    <col min="7" max="7" width="16.8515625" style="406" customWidth="1"/>
    <col min="8" max="8" width="18.421875" style="406" customWidth="1"/>
    <col min="9" max="9" width="16.28125" style="406" customWidth="1"/>
    <col min="10" max="10" width="17.57421875" style="406" customWidth="1"/>
    <col min="11" max="11" width="17.140625" style="409" customWidth="1"/>
    <col min="12" max="12" width="16.7109375" style="409" customWidth="1"/>
    <col min="13" max="13" width="11.57421875" style="409" customWidth="1"/>
    <col min="14" max="15" width="12.421875" style="409" customWidth="1"/>
    <col min="16" max="16" width="16.421875" style="408" customWidth="1"/>
    <col min="17" max="17" width="11.140625" style="408" customWidth="1"/>
    <col min="18" max="18" width="11.8515625" style="408" customWidth="1"/>
    <col min="19" max="19" width="11.7109375" style="408" customWidth="1"/>
    <col min="20" max="20" width="11.57421875" style="408" customWidth="1"/>
    <col min="21" max="21" width="11.8515625" style="408" customWidth="1"/>
    <col min="22" max="22" width="10.8515625" style="408" customWidth="1"/>
    <col min="23" max="23" width="11.7109375" style="408" customWidth="1"/>
    <col min="24" max="24" width="12.421875" style="409" customWidth="1"/>
    <col min="25" max="25" width="13.7109375" style="409" customWidth="1"/>
    <col min="26" max="26" width="12.8515625" style="409" customWidth="1"/>
    <col min="27" max="27" width="13.28125" style="409" customWidth="1"/>
    <col min="28" max="28" width="14.57421875" style="409" customWidth="1"/>
    <col min="29" max="29" width="15.140625" style="408" customWidth="1"/>
    <col min="30" max="30" width="12.28125" style="409" customWidth="1"/>
    <col min="31" max="31" width="12.7109375" style="409" customWidth="1"/>
    <col min="32" max="32" width="13.00390625" style="409" customWidth="1"/>
    <col min="33" max="33" width="12.140625" style="409" customWidth="1"/>
    <col min="34" max="34" width="12.7109375" style="409" customWidth="1"/>
    <col min="35" max="35" width="13.28125" style="409" customWidth="1"/>
    <col min="36" max="36" width="11.421875" style="409" customWidth="1"/>
    <col min="37" max="37" width="10.7109375" style="409" customWidth="1"/>
    <col min="38" max="38" width="11.8515625" style="409" customWidth="1"/>
    <col min="39" max="39" width="12.7109375" style="409" customWidth="1"/>
    <col min="40" max="40" width="9.140625" style="409" customWidth="1"/>
    <col min="41" max="41" width="12.8515625" style="409" customWidth="1"/>
    <col min="42" max="42" width="13.7109375" style="409" customWidth="1"/>
    <col min="43" max="16384" width="9.140625" style="409" customWidth="1"/>
  </cols>
  <sheetData>
    <row r="1" spans="1:21" ht="15">
      <c r="A1" s="404" t="s">
        <v>434</v>
      </c>
      <c r="B1" s="404"/>
      <c r="C1" s="405"/>
      <c r="D1" s="405"/>
      <c r="E1" s="405"/>
      <c r="F1" s="405"/>
      <c r="H1" s="404" t="s">
        <v>354</v>
      </c>
      <c r="I1" s="404"/>
      <c r="K1" s="406"/>
      <c r="L1" s="406"/>
      <c r="M1" s="406"/>
      <c r="N1" s="406"/>
      <c r="O1" s="406"/>
      <c r="P1" s="407"/>
      <c r="Q1" s="407"/>
      <c r="R1" s="407"/>
      <c r="S1" s="407"/>
      <c r="T1" s="407"/>
      <c r="U1" s="407"/>
    </row>
    <row r="2" spans="1:21" ht="15">
      <c r="A2" s="404"/>
      <c r="B2" s="404"/>
      <c r="C2" s="405"/>
      <c r="D2" s="405"/>
      <c r="E2" s="405"/>
      <c r="F2" s="405"/>
      <c r="H2" s="404"/>
      <c r="I2" s="404"/>
      <c r="K2" s="406"/>
      <c r="L2" s="406"/>
      <c r="M2" s="406"/>
      <c r="N2" s="406"/>
      <c r="O2" s="406"/>
      <c r="P2" s="407"/>
      <c r="Q2" s="407"/>
      <c r="R2" s="407"/>
      <c r="S2" s="407"/>
      <c r="T2" s="407"/>
      <c r="U2" s="407"/>
    </row>
    <row r="3" spans="1:29" ht="15">
      <c r="A3" s="404"/>
      <c r="B3" s="404"/>
      <c r="C3" s="405"/>
      <c r="D3" s="405"/>
      <c r="E3" s="405"/>
      <c r="F3" s="405"/>
      <c r="G3" s="471" t="s">
        <v>435</v>
      </c>
      <c r="H3" s="472"/>
      <c r="I3" s="472"/>
      <c r="J3" s="473"/>
      <c r="K3" s="406"/>
      <c r="L3" s="407"/>
      <c r="P3" s="409"/>
      <c r="Q3" s="409"/>
      <c r="R3" s="409"/>
      <c r="S3" s="409"/>
      <c r="T3" s="409"/>
      <c r="U3" s="409"/>
      <c r="V3" s="409"/>
      <c r="W3" s="409"/>
      <c r="AC3" s="409"/>
    </row>
    <row r="4" spans="1:12" s="414" customFormat="1" ht="85.5">
      <c r="A4" s="410" t="s">
        <v>356</v>
      </c>
      <c r="B4" s="410" t="s">
        <v>357</v>
      </c>
      <c r="C4" s="411" t="s">
        <v>471</v>
      </c>
      <c r="D4" s="411" t="s">
        <v>472</v>
      </c>
      <c r="E4" s="411" t="s">
        <v>358</v>
      </c>
      <c r="F4" s="411" t="s">
        <v>473</v>
      </c>
      <c r="G4" s="410" t="s">
        <v>404</v>
      </c>
      <c r="H4" s="410" t="s">
        <v>358</v>
      </c>
      <c r="I4" s="410" t="s">
        <v>359</v>
      </c>
      <c r="J4" s="412" t="s">
        <v>431</v>
      </c>
      <c r="K4" s="412" t="s">
        <v>437</v>
      </c>
      <c r="L4" s="413" t="s">
        <v>436</v>
      </c>
    </row>
    <row r="5" spans="1:29" ht="45">
      <c r="A5" s="415">
        <v>733000</v>
      </c>
      <c r="B5" s="416" t="s">
        <v>409</v>
      </c>
      <c r="C5" s="417">
        <f>D5+E5+F5</f>
        <v>73680000</v>
      </c>
      <c r="D5" s="417">
        <v>73680000</v>
      </c>
      <c r="E5" s="417"/>
      <c r="F5" s="417"/>
      <c r="G5" s="418">
        <v>17713200</v>
      </c>
      <c r="H5" s="419"/>
      <c r="I5" s="419"/>
      <c r="J5" s="418"/>
      <c r="K5" s="418">
        <f aca="true" t="shared" si="0" ref="K5:K12">G5+H5+I5</f>
        <v>17713200</v>
      </c>
      <c r="L5" s="418">
        <f>K5-C5</f>
        <v>-55966800</v>
      </c>
      <c r="P5" s="409"/>
      <c r="Q5" s="409"/>
      <c r="R5" s="409"/>
      <c r="S5" s="409"/>
      <c r="T5" s="409"/>
      <c r="U5" s="409"/>
      <c r="V5" s="409"/>
      <c r="W5" s="409"/>
      <c r="AC5" s="409"/>
    </row>
    <row r="6" spans="1:29" ht="45">
      <c r="A6" s="415">
        <v>741000</v>
      </c>
      <c r="B6" s="416" t="s">
        <v>456</v>
      </c>
      <c r="C6" s="417">
        <f aca="true" t="shared" si="1" ref="C6:C37">D6+E6+F6</f>
        <v>0</v>
      </c>
      <c r="D6" s="417"/>
      <c r="E6" s="417"/>
      <c r="F6" s="417"/>
      <c r="G6" s="419"/>
      <c r="H6" s="419"/>
      <c r="I6" s="418">
        <v>250000</v>
      </c>
      <c r="J6" s="419"/>
      <c r="K6" s="418">
        <f t="shared" si="0"/>
        <v>250000</v>
      </c>
      <c r="L6" s="418">
        <f aca="true" t="shared" si="2" ref="L6:L38">K6-C6</f>
        <v>250000</v>
      </c>
      <c r="P6" s="409"/>
      <c r="Q6" s="409"/>
      <c r="R6" s="409"/>
      <c r="S6" s="409"/>
      <c r="T6" s="409"/>
      <c r="U6" s="409"/>
      <c r="V6" s="409"/>
      <c r="W6" s="409"/>
      <c r="AC6" s="409"/>
    </row>
    <row r="7" spans="1:29" ht="15">
      <c r="A7" s="415">
        <v>742000</v>
      </c>
      <c r="B7" s="420" t="s">
        <v>379</v>
      </c>
      <c r="C7" s="417">
        <f t="shared" si="1"/>
        <v>55960000</v>
      </c>
      <c r="D7" s="421"/>
      <c r="E7" s="421"/>
      <c r="F7" s="421">
        <v>55960000</v>
      </c>
      <c r="G7" s="419"/>
      <c r="H7" s="419"/>
      <c r="I7" s="418">
        <f>I8+I9+I10+I11+I12</f>
        <v>51760000</v>
      </c>
      <c r="J7" s="418"/>
      <c r="K7" s="418">
        <f t="shared" si="0"/>
        <v>51760000</v>
      </c>
      <c r="L7" s="418">
        <f t="shared" si="2"/>
        <v>-4200000</v>
      </c>
      <c r="P7" s="409"/>
      <c r="Q7" s="409"/>
      <c r="R7" s="409"/>
      <c r="S7" s="409"/>
      <c r="T7" s="409"/>
      <c r="U7" s="409"/>
      <c r="V7" s="409"/>
      <c r="W7" s="409"/>
      <c r="AC7" s="409"/>
    </row>
    <row r="8" spans="1:29" ht="15">
      <c r="A8" s="422"/>
      <c r="B8" s="423" t="s">
        <v>457</v>
      </c>
      <c r="C8" s="417">
        <f t="shared" si="1"/>
        <v>0</v>
      </c>
      <c r="D8" s="424"/>
      <c r="E8" s="424"/>
      <c r="F8" s="424"/>
      <c r="G8" s="419"/>
      <c r="H8" s="419"/>
      <c r="I8" s="419">
        <v>15000000</v>
      </c>
      <c r="J8" s="419"/>
      <c r="K8" s="419">
        <f t="shared" si="0"/>
        <v>15000000</v>
      </c>
      <c r="L8" s="418">
        <f t="shared" si="2"/>
        <v>15000000</v>
      </c>
      <c r="P8" s="409"/>
      <c r="Q8" s="409"/>
      <c r="R8" s="409"/>
      <c r="S8" s="409"/>
      <c r="T8" s="409"/>
      <c r="U8" s="409"/>
      <c r="V8" s="409"/>
      <c r="W8" s="409"/>
      <c r="AC8" s="409"/>
    </row>
    <row r="9" spans="1:29" ht="15">
      <c r="A9" s="425"/>
      <c r="B9" s="425" t="s">
        <v>377</v>
      </c>
      <c r="C9" s="417">
        <f t="shared" si="1"/>
        <v>0</v>
      </c>
      <c r="D9" s="426"/>
      <c r="E9" s="426"/>
      <c r="F9" s="426"/>
      <c r="G9" s="419"/>
      <c r="H9" s="419"/>
      <c r="I9" s="419">
        <v>4200000</v>
      </c>
      <c r="J9" s="419"/>
      <c r="K9" s="419">
        <f t="shared" si="0"/>
        <v>4200000</v>
      </c>
      <c r="L9" s="418">
        <f t="shared" si="2"/>
        <v>4200000</v>
      </c>
      <c r="P9" s="409"/>
      <c r="Q9" s="409"/>
      <c r="R9" s="409"/>
      <c r="S9" s="409"/>
      <c r="T9" s="409"/>
      <c r="U9" s="409"/>
      <c r="V9" s="409"/>
      <c r="W9" s="409"/>
      <c r="AC9" s="409"/>
    </row>
    <row r="10" spans="1:29" ht="15">
      <c r="A10" s="425"/>
      <c r="B10" s="425" t="s">
        <v>378</v>
      </c>
      <c r="C10" s="417">
        <f t="shared" si="1"/>
        <v>0</v>
      </c>
      <c r="D10" s="426"/>
      <c r="E10" s="426"/>
      <c r="F10" s="426"/>
      <c r="G10" s="419"/>
      <c r="H10" s="419"/>
      <c r="I10" s="419">
        <v>30800000</v>
      </c>
      <c r="J10" s="419"/>
      <c r="K10" s="419">
        <f t="shared" si="0"/>
        <v>30800000</v>
      </c>
      <c r="L10" s="418">
        <f t="shared" si="2"/>
        <v>30800000</v>
      </c>
      <c r="P10" s="409"/>
      <c r="Q10" s="409"/>
      <c r="R10" s="409"/>
      <c r="S10" s="409"/>
      <c r="T10" s="409"/>
      <c r="U10" s="409"/>
      <c r="V10" s="409"/>
      <c r="W10" s="409"/>
      <c r="AC10" s="409"/>
    </row>
    <row r="11" spans="1:29" ht="15">
      <c r="A11" s="425"/>
      <c r="B11" s="425" t="s">
        <v>148</v>
      </c>
      <c r="C11" s="417">
        <f t="shared" si="1"/>
        <v>0</v>
      </c>
      <c r="D11" s="426"/>
      <c r="E11" s="426"/>
      <c r="F11" s="426"/>
      <c r="G11" s="419"/>
      <c r="H11" s="419"/>
      <c r="I11" s="419">
        <v>60000</v>
      </c>
      <c r="J11" s="419"/>
      <c r="K11" s="419">
        <f t="shared" si="0"/>
        <v>60000</v>
      </c>
      <c r="L11" s="418">
        <f t="shared" si="2"/>
        <v>60000</v>
      </c>
      <c r="P11" s="409"/>
      <c r="Q11" s="409"/>
      <c r="R11" s="409"/>
      <c r="S11" s="409"/>
      <c r="T11" s="409"/>
      <c r="U11" s="409"/>
      <c r="V11" s="409"/>
      <c r="W11" s="409"/>
      <c r="AC11" s="409"/>
    </row>
    <row r="12" spans="1:29" ht="15">
      <c r="A12" s="425"/>
      <c r="B12" s="425" t="s">
        <v>402</v>
      </c>
      <c r="C12" s="417">
        <f t="shared" si="1"/>
        <v>0</v>
      </c>
      <c r="D12" s="426"/>
      <c r="E12" s="426"/>
      <c r="F12" s="426"/>
      <c r="G12" s="419"/>
      <c r="H12" s="419"/>
      <c r="I12" s="419">
        <v>1700000</v>
      </c>
      <c r="J12" s="419"/>
      <c r="K12" s="419">
        <f t="shared" si="0"/>
        <v>1700000</v>
      </c>
      <c r="L12" s="418">
        <f t="shared" si="2"/>
        <v>1700000</v>
      </c>
      <c r="P12" s="409"/>
      <c r="Q12" s="409"/>
      <c r="R12" s="409"/>
      <c r="S12" s="409"/>
      <c r="T12" s="409"/>
      <c r="U12" s="409"/>
      <c r="V12" s="409"/>
      <c r="W12" s="409"/>
      <c r="AC12" s="409"/>
    </row>
    <row r="13" spans="1:29" ht="15">
      <c r="A13" s="420">
        <v>744100</v>
      </c>
      <c r="B13" s="420" t="s">
        <v>432</v>
      </c>
      <c r="C13" s="417">
        <f t="shared" si="1"/>
        <v>0</v>
      </c>
      <c r="D13" s="421"/>
      <c r="E13" s="421"/>
      <c r="F13" s="421"/>
      <c r="G13" s="419"/>
      <c r="H13" s="419"/>
      <c r="I13" s="419"/>
      <c r="J13" s="418"/>
      <c r="K13" s="418">
        <f>G13+H13+I13+J13</f>
        <v>0</v>
      </c>
      <c r="L13" s="418">
        <f t="shared" si="2"/>
        <v>0</v>
      </c>
      <c r="P13" s="409"/>
      <c r="Q13" s="409"/>
      <c r="R13" s="409"/>
      <c r="S13" s="409"/>
      <c r="T13" s="409"/>
      <c r="U13" s="409"/>
      <c r="V13" s="409"/>
      <c r="W13" s="409"/>
      <c r="AC13" s="409"/>
    </row>
    <row r="14" spans="1:29" ht="15">
      <c r="A14" s="420">
        <v>745000</v>
      </c>
      <c r="B14" s="420" t="s">
        <v>458</v>
      </c>
      <c r="C14" s="417">
        <f t="shared" si="1"/>
        <v>0</v>
      </c>
      <c r="D14" s="421"/>
      <c r="E14" s="421"/>
      <c r="F14" s="421"/>
      <c r="G14" s="419"/>
      <c r="H14" s="419"/>
      <c r="I14" s="418">
        <v>830000</v>
      </c>
      <c r="J14" s="418"/>
      <c r="K14" s="418">
        <f aca="true" t="shared" si="3" ref="K14:K38">G14+H14+I14</f>
        <v>830000</v>
      </c>
      <c r="L14" s="418">
        <f t="shared" si="2"/>
        <v>830000</v>
      </c>
      <c r="P14" s="409"/>
      <c r="Q14" s="409"/>
      <c r="R14" s="409"/>
      <c r="S14" s="409"/>
      <c r="T14" s="409"/>
      <c r="U14" s="409"/>
      <c r="V14" s="409"/>
      <c r="W14" s="409"/>
      <c r="AC14" s="409"/>
    </row>
    <row r="15" spans="1:29" ht="30">
      <c r="A15" s="420">
        <v>781000</v>
      </c>
      <c r="B15" s="427" t="s">
        <v>388</v>
      </c>
      <c r="C15" s="417">
        <f t="shared" si="1"/>
        <v>517164000</v>
      </c>
      <c r="D15" s="428"/>
      <c r="E15" s="429">
        <v>517164000</v>
      </c>
      <c r="F15" s="429"/>
      <c r="G15" s="419"/>
      <c r="H15" s="418">
        <f>H16+H25+H31</f>
        <v>523526000</v>
      </c>
      <c r="I15" s="419"/>
      <c r="J15" s="418"/>
      <c r="K15" s="418">
        <f t="shared" si="3"/>
        <v>523526000</v>
      </c>
      <c r="L15" s="418">
        <f t="shared" si="2"/>
        <v>6362000</v>
      </c>
      <c r="P15" s="409"/>
      <c r="Q15" s="409"/>
      <c r="R15" s="409"/>
      <c r="S15" s="409"/>
      <c r="T15" s="409"/>
      <c r="U15" s="409"/>
      <c r="V15" s="409"/>
      <c r="W15" s="409"/>
      <c r="AC15" s="409"/>
    </row>
    <row r="16" spans="1:29" ht="15">
      <c r="A16" s="420"/>
      <c r="B16" s="427" t="s">
        <v>380</v>
      </c>
      <c r="C16" s="417">
        <f t="shared" si="1"/>
        <v>0</v>
      </c>
      <c r="D16" s="429"/>
      <c r="E16" s="429"/>
      <c r="F16" s="429"/>
      <c r="G16" s="419"/>
      <c r="H16" s="418">
        <f>H17+H18+H19+H20+H23+H24</f>
        <v>461622000</v>
      </c>
      <c r="I16" s="419"/>
      <c r="J16" s="418"/>
      <c r="K16" s="418">
        <f t="shared" si="3"/>
        <v>461622000</v>
      </c>
      <c r="L16" s="418">
        <f t="shared" si="2"/>
        <v>461622000</v>
      </c>
      <c r="P16" s="409"/>
      <c r="Q16" s="409"/>
      <c r="R16" s="409"/>
      <c r="S16" s="409"/>
      <c r="T16" s="409"/>
      <c r="U16" s="409"/>
      <c r="V16" s="409"/>
      <c r="W16" s="409"/>
      <c r="AC16" s="409"/>
    </row>
    <row r="17" spans="1:29" ht="15">
      <c r="A17" s="430"/>
      <c r="B17" s="425" t="s">
        <v>382</v>
      </c>
      <c r="C17" s="417">
        <f t="shared" si="1"/>
        <v>0</v>
      </c>
      <c r="D17" s="426"/>
      <c r="E17" s="426"/>
      <c r="F17" s="426"/>
      <c r="G17" s="419"/>
      <c r="H17" s="419">
        <v>365277000</v>
      </c>
      <c r="I17" s="419"/>
      <c r="J17" s="419"/>
      <c r="K17" s="419">
        <f t="shared" si="3"/>
        <v>365277000</v>
      </c>
      <c r="L17" s="418">
        <f t="shared" si="2"/>
        <v>365277000</v>
      </c>
      <c r="P17" s="409"/>
      <c r="Q17" s="409"/>
      <c r="R17" s="409"/>
      <c r="S17" s="409"/>
      <c r="T17" s="409"/>
      <c r="U17" s="409"/>
      <c r="V17" s="409"/>
      <c r="W17" s="409"/>
      <c r="AC17" s="409"/>
    </row>
    <row r="18" spans="1:29" ht="15">
      <c r="A18" s="430"/>
      <c r="B18" s="425" t="s">
        <v>385</v>
      </c>
      <c r="C18" s="417">
        <f t="shared" si="1"/>
        <v>0</v>
      </c>
      <c r="D18" s="426"/>
      <c r="E18" s="426"/>
      <c r="F18" s="426"/>
      <c r="G18" s="419"/>
      <c r="H18" s="419">
        <v>10786000</v>
      </c>
      <c r="I18" s="419"/>
      <c r="J18" s="419"/>
      <c r="K18" s="419">
        <f t="shared" si="3"/>
        <v>10786000</v>
      </c>
      <c r="L18" s="418">
        <f t="shared" si="2"/>
        <v>10786000</v>
      </c>
      <c r="P18" s="409"/>
      <c r="Q18" s="409"/>
      <c r="R18" s="409"/>
      <c r="S18" s="409"/>
      <c r="T18" s="409"/>
      <c r="U18" s="409"/>
      <c r="V18" s="409"/>
      <c r="W18" s="409"/>
      <c r="AC18" s="409"/>
    </row>
    <row r="19" spans="1:29" ht="15">
      <c r="A19" s="430"/>
      <c r="B19" s="425" t="s">
        <v>383</v>
      </c>
      <c r="C19" s="417">
        <f t="shared" si="1"/>
        <v>0</v>
      </c>
      <c r="D19" s="426"/>
      <c r="E19" s="426"/>
      <c r="F19" s="426"/>
      <c r="G19" s="419"/>
      <c r="H19" s="419">
        <v>23082000</v>
      </c>
      <c r="I19" s="419"/>
      <c r="J19" s="419"/>
      <c r="K19" s="419">
        <f t="shared" si="3"/>
        <v>23082000</v>
      </c>
      <c r="L19" s="418">
        <f t="shared" si="2"/>
        <v>23082000</v>
      </c>
      <c r="P19" s="409"/>
      <c r="Q19" s="409"/>
      <c r="R19" s="409"/>
      <c r="S19" s="409"/>
      <c r="T19" s="409"/>
      <c r="U19" s="409"/>
      <c r="V19" s="409"/>
      <c r="W19" s="409"/>
      <c r="AC19" s="409"/>
    </row>
    <row r="20" spans="1:29" ht="29.25">
      <c r="A20" s="430"/>
      <c r="B20" s="431" t="s">
        <v>390</v>
      </c>
      <c r="C20" s="417">
        <f t="shared" si="1"/>
        <v>0</v>
      </c>
      <c r="D20" s="432"/>
      <c r="E20" s="432"/>
      <c r="F20" s="432"/>
      <c r="G20" s="419"/>
      <c r="H20" s="419">
        <v>24656000</v>
      </c>
      <c r="I20" s="419"/>
      <c r="J20" s="419"/>
      <c r="K20" s="419">
        <f t="shared" si="3"/>
        <v>24656000</v>
      </c>
      <c r="L20" s="418">
        <f t="shared" si="2"/>
        <v>24656000</v>
      </c>
      <c r="P20" s="409"/>
      <c r="Q20" s="409"/>
      <c r="R20" s="409"/>
      <c r="S20" s="409"/>
      <c r="T20" s="409"/>
      <c r="U20" s="409"/>
      <c r="V20" s="409"/>
      <c r="W20" s="409"/>
      <c r="AC20" s="409"/>
    </row>
    <row r="21" spans="1:29" ht="15">
      <c r="A21" s="430"/>
      <c r="B21" s="431" t="s">
        <v>394</v>
      </c>
      <c r="C21" s="417">
        <f t="shared" si="1"/>
        <v>0</v>
      </c>
      <c r="D21" s="432"/>
      <c r="E21" s="432"/>
      <c r="F21" s="432"/>
      <c r="G21" s="419"/>
      <c r="H21" s="419"/>
      <c r="I21" s="419"/>
      <c r="J21" s="419"/>
      <c r="K21" s="419">
        <f t="shared" si="3"/>
        <v>0</v>
      </c>
      <c r="L21" s="418">
        <f t="shared" si="2"/>
        <v>0</v>
      </c>
      <c r="P21" s="409"/>
      <c r="Q21" s="409"/>
      <c r="R21" s="409"/>
      <c r="S21" s="409"/>
      <c r="T21" s="409"/>
      <c r="U21" s="409"/>
      <c r="V21" s="409"/>
      <c r="W21" s="409"/>
      <c r="AC21" s="409"/>
    </row>
    <row r="22" spans="1:29" ht="15">
      <c r="A22" s="430"/>
      <c r="B22" s="431" t="s">
        <v>395</v>
      </c>
      <c r="C22" s="417">
        <f t="shared" si="1"/>
        <v>0</v>
      </c>
      <c r="D22" s="432"/>
      <c r="E22" s="432"/>
      <c r="F22" s="432"/>
      <c r="G22" s="419"/>
      <c r="H22" s="419"/>
      <c r="I22" s="419"/>
      <c r="J22" s="419"/>
      <c r="K22" s="419">
        <f t="shared" si="3"/>
        <v>0</v>
      </c>
      <c r="L22" s="418">
        <f t="shared" si="2"/>
        <v>0</v>
      </c>
      <c r="P22" s="409"/>
      <c r="Q22" s="409"/>
      <c r="R22" s="409"/>
      <c r="S22" s="409"/>
      <c r="T22" s="409"/>
      <c r="U22" s="409"/>
      <c r="V22" s="409"/>
      <c r="W22" s="409"/>
      <c r="AC22" s="409"/>
    </row>
    <row r="23" spans="1:29" ht="15">
      <c r="A23" s="430"/>
      <c r="B23" s="425" t="s">
        <v>405</v>
      </c>
      <c r="C23" s="417">
        <f t="shared" si="1"/>
        <v>0</v>
      </c>
      <c r="D23" s="426"/>
      <c r="E23" s="426"/>
      <c r="F23" s="426"/>
      <c r="G23" s="419"/>
      <c r="H23" s="419">
        <v>12936000</v>
      </c>
      <c r="I23" s="419"/>
      <c r="J23" s="419"/>
      <c r="K23" s="419">
        <f t="shared" si="3"/>
        <v>12936000</v>
      </c>
      <c r="L23" s="418">
        <f t="shared" si="2"/>
        <v>12936000</v>
      </c>
      <c r="P23" s="409"/>
      <c r="Q23" s="409"/>
      <c r="R23" s="409"/>
      <c r="S23" s="409"/>
      <c r="T23" s="409"/>
      <c r="U23" s="409"/>
      <c r="V23" s="409"/>
      <c r="W23" s="409"/>
      <c r="AC23" s="409"/>
    </row>
    <row r="24" spans="1:29" ht="15">
      <c r="A24" s="430"/>
      <c r="B24" s="425" t="s">
        <v>384</v>
      </c>
      <c r="C24" s="417">
        <f t="shared" si="1"/>
        <v>0</v>
      </c>
      <c r="D24" s="426"/>
      <c r="E24" s="426"/>
      <c r="F24" s="426"/>
      <c r="G24" s="419"/>
      <c r="H24" s="419">
        <v>24885000</v>
      </c>
      <c r="I24" s="419"/>
      <c r="J24" s="419"/>
      <c r="K24" s="419">
        <f t="shared" si="3"/>
        <v>24885000</v>
      </c>
      <c r="L24" s="418">
        <f t="shared" si="2"/>
        <v>24885000</v>
      </c>
      <c r="P24" s="409"/>
      <c r="Q24" s="409"/>
      <c r="R24" s="409"/>
      <c r="S24" s="409"/>
      <c r="T24" s="409"/>
      <c r="U24" s="409"/>
      <c r="V24" s="409"/>
      <c r="W24" s="409"/>
      <c r="AC24" s="409"/>
    </row>
    <row r="25" spans="1:29" ht="15">
      <c r="A25" s="430"/>
      <c r="B25" s="420" t="s">
        <v>381</v>
      </c>
      <c r="C25" s="417">
        <f t="shared" si="1"/>
        <v>0</v>
      </c>
      <c r="D25" s="421"/>
      <c r="E25" s="421"/>
      <c r="F25" s="421"/>
      <c r="G25" s="419"/>
      <c r="H25" s="418">
        <f>H26+H27+H28</f>
        <v>56336000</v>
      </c>
      <c r="I25" s="419"/>
      <c r="J25" s="418"/>
      <c r="K25" s="418">
        <f t="shared" si="3"/>
        <v>56336000</v>
      </c>
      <c r="L25" s="418">
        <f t="shared" si="2"/>
        <v>56336000</v>
      </c>
      <c r="P25" s="409"/>
      <c r="Q25" s="409"/>
      <c r="R25" s="409"/>
      <c r="S25" s="409"/>
      <c r="T25" s="409"/>
      <c r="U25" s="409"/>
      <c r="V25" s="409"/>
      <c r="W25" s="409"/>
      <c r="AC25" s="409"/>
    </row>
    <row r="26" spans="1:29" ht="15">
      <c r="A26" s="433"/>
      <c r="B26" s="425" t="s">
        <v>387</v>
      </c>
      <c r="C26" s="417">
        <f t="shared" si="1"/>
        <v>0</v>
      </c>
      <c r="D26" s="426"/>
      <c r="E26" s="426"/>
      <c r="F26" s="426"/>
      <c r="G26" s="419"/>
      <c r="H26" s="419">
        <v>50636000</v>
      </c>
      <c r="I26" s="419"/>
      <c r="J26" s="419"/>
      <c r="K26" s="419">
        <f t="shared" si="3"/>
        <v>50636000</v>
      </c>
      <c r="L26" s="418">
        <f t="shared" si="2"/>
        <v>50636000</v>
      </c>
      <c r="P26" s="409"/>
      <c r="Q26" s="409"/>
      <c r="R26" s="409"/>
      <c r="S26" s="409"/>
      <c r="T26" s="409"/>
      <c r="U26" s="409"/>
      <c r="V26" s="409"/>
      <c r="W26" s="409"/>
      <c r="AC26" s="409"/>
    </row>
    <row r="27" spans="1:29" ht="15">
      <c r="A27" s="430"/>
      <c r="B27" s="425" t="s">
        <v>385</v>
      </c>
      <c r="C27" s="417">
        <f t="shared" si="1"/>
        <v>0</v>
      </c>
      <c r="D27" s="426"/>
      <c r="E27" s="426"/>
      <c r="F27" s="426"/>
      <c r="G27" s="419"/>
      <c r="H27" s="419">
        <v>1356000</v>
      </c>
      <c r="I27" s="419"/>
      <c r="J27" s="419"/>
      <c r="K27" s="419">
        <f t="shared" si="3"/>
        <v>1356000</v>
      </c>
      <c r="L27" s="418">
        <f t="shared" si="2"/>
        <v>1356000</v>
      </c>
      <c r="P27" s="409"/>
      <c r="Q27" s="409"/>
      <c r="R27" s="409"/>
      <c r="S27" s="409"/>
      <c r="T27" s="409"/>
      <c r="U27" s="409"/>
      <c r="V27" s="409"/>
      <c r="W27" s="409"/>
      <c r="AC27" s="409"/>
    </row>
    <row r="28" spans="1:29" ht="29.25">
      <c r="A28" s="430"/>
      <c r="B28" s="431" t="s">
        <v>391</v>
      </c>
      <c r="C28" s="417">
        <f t="shared" si="1"/>
        <v>0</v>
      </c>
      <c r="D28" s="432"/>
      <c r="E28" s="432"/>
      <c r="F28" s="432"/>
      <c r="G28" s="419"/>
      <c r="H28" s="419">
        <v>4344000</v>
      </c>
      <c r="I28" s="419"/>
      <c r="J28" s="419"/>
      <c r="K28" s="419">
        <f t="shared" si="3"/>
        <v>4344000</v>
      </c>
      <c r="L28" s="418">
        <f t="shared" si="2"/>
        <v>4344000</v>
      </c>
      <c r="P28" s="409"/>
      <c r="Q28" s="409"/>
      <c r="R28" s="409"/>
      <c r="S28" s="409"/>
      <c r="T28" s="409"/>
      <c r="U28" s="409"/>
      <c r="V28" s="409"/>
      <c r="W28" s="409"/>
      <c r="AC28" s="409"/>
    </row>
    <row r="29" spans="1:29" ht="15">
      <c r="A29" s="430"/>
      <c r="B29" s="431" t="s">
        <v>394</v>
      </c>
      <c r="C29" s="417">
        <f t="shared" si="1"/>
        <v>0</v>
      </c>
      <c r="D29" s="432"/>
      <c r="E29" s="432"/>
      <c r="F29" s="432"/>
      <c r="G29" s="419"/>
      <c r="H29" s="419"/>
      <c r="I29" s="419"/>
      <c r="J29" s="419"/>
      <c r="K29" s="419">
        <f t="shared" si="3"/>
        <v>0</v>
      </c>
      <c r="L29" s="418">
        <f t="shared" si="2"/>
        <v>0</v>
      </c>
      <c r="P29" s="409"/>
      <c r="Q29" s="409"/>
      <c r="R29" s="409"/>
      <c r="S29" s="409"/>
      <c r="T29" s="409"/>
      <c r="U29" s="409"/>
      <c r="V29" s="409"/>
      <c r="W29" s="409"/>
      <c r="AC29" s="409"/>
    </row>
    <row r="30" spans="1:29" ht="15">
      <c r="A30" s="430"/>
      <c r="B30" s="431" t="s">
        <v>395</v>
      </c>
      <c r="C30" s="417">
        <f t="shared" si="1"/>
        <v>0</v>
      </c>
      <c r="D30" s="432"/>
      <c r="E30" s="432"/>
      <c r="F30" s="432"/>
      <c r="G30" s="419"/>
      <c r="H30" s="419"/>
      <c r="I30" s="419"/>
      <c r="J30" s="419"/>
      <c r="K30" s="419">
        <f t="shared" si="3"/>
        <v>0</v>
      </c>
      <c r="L30" s="418">
        <f t="shared" si="2"/>
        <v>0</v>
      </c>
      <c r="P30" s="409"/>
      <c r="Q30" s="409"/>
      <c r="R30" s="409"/>
      <c r="S30" s="409"/>
      <c r="T30" s="409"/>
      <c r="U30" s="409"/>
      <c r="V30" s="409"/>
      <c r="W30" s="409"/>
      <c r="AC30" s="409"/>
    </row>
    <row r="31" spans="1:29" ht="15">
      <c r="A31" s="433"/>
      <c r="B31" s="420" t="s">
        <v>372</v>
      </c>
      <c r="C31" s="417">
        <f t="shared" si="1"/>
        <v>0</v>
      </c>
      <c r="D31" s="421"/>
      <c r="E31" s="421"/>
      <c r="F31" s="421"/>
      <c r="G31" s="419"/>
      <c r="H31" s="418">
        <f>H32+H33</f>
        <v>5568000</v>
      </c>
      <c r="I31" s="419"/>
      <c r="J31" s="418"/>
      <c r="K31" s="418">
        <f t="shared" si="3"/>
        <v>5568000</v>
      </c>
      <c r="L31" s="418">
        <f t="shared" si="2"/>
        <v>5568000</v>
      </c>
      <c r="P31" s="409"/>
      <c r="Q31" s="409"/>
      <c r="R31" s="409"/>
      <c r="S31" s="409"/>
      <c r="T31" s="409"/>
      <c r="U31" s="409"/>
      <c r="V31" s="409"/>
      <c r="W31" s="409"/>
      <c r="AC31" s="409"/>
    </row>
    <row r="32" spans="1:29" ht="15">
      <c r="A32" s="433"/>
      <c r="B32" s="425" t="s">
        <v>386</v>
      </c>
      <c r="C32" s="417">
        <f t="shared" si="1"/>
        <v>0</v>
      </c>
      <c r="D32" s="426"/>
      <c r="E32" s="426"/>
      <c r="F32" s="426"/>
      <c r="G32" s="419"/>
      <c r="H32" s="419">
        <v>5254000</v>
      </c>
      <c r="I32" s="419"/>
      <c r="J32" s="419"/>
      <c r="K32" s="419">
        <f t="shared" si="3"/>
        <v>5254000</v>
      </c>
      <c r="L32" s="418">
        <f t="shared" si="2"/>
        <v>5254000</v>
      </c>
      <c r="P32" s="409"/>
      <c r="Q32" s="409"/>
      <c r="R32" s="409"/>
      <c r="S32" s="409"/>
      <c r="T32" s="409"/>
      <c r="U32" s="409"/>
      <c r="V32" s="409"/>
      <c r="W32" s="409"/>
      <c r="AC32" s="409"/>
    </row>
    <row r="33" spans="1:29" ht="15">
      <c r="A33" s="433"/>
      <c r="B33" s="425" t="s">
        <v>376</v>
      </c>
      <c r="C33" s="417">
        <f t="shared" si="1"/>
        <v>0</v>
      </c>
      <c r="D33" s="426"/>
      <c r="E33" s="426"/>
      <c r="F33" s="426"/>
      <c r="G33" s="419"/>
      <c r="H33" s="419">
        <v>314000</v>
      </c>
      <c r="I33" s="419"/>
      <c r="J33" s="419"/>
      <c r="K33" s="419">
        <f t="shared" si="3"/>
        <v>314000</v>
      </c>
      <c r="L33" s="418">
        <f t="shared" si="2"/>
        <v>314000</v>
      </c>
      <c r="P33" s="409"/>
      <c r="Q33" s="409"/>
      <c r="R33" s="409"/>
      <c r="S33" s="409"/>
      <c r="T33" s="409"/>
      <c r="U33" s="409"/>
      <c r="V33" s="409"/>
      <c r="W33" s="409"/>
      <c r="AC33" s="409"/>
    </row>
    <row r="34" spans="1:12" s="434" customFormat="1" ht="15">
      <c r="A34" s="433">
        <v>791000</v>
      </c>
      <c r="B34" s="420" t="s">
        <v>426</v>
      </c>
      <c r="C34" s="417">
        <f t="shared" si="1"/>
        <v>0</v>
      </c>
      <c r="D34" s="421"/>
      <c r="E34" s="421"/>
      <c r="F34" s="421"/>
      <c r="G34" s="418"/>
      <c r="H34" s="418"/>
      <c r="I34" s="418"/>
      <c r="J34" s="418"/>
      <c r="K34" s="419">
        <f t="shared" si="3"/>
        <v>0</v>
      </c>
      <c r="L34" s="418">
        <f t="shared" si="2"/>
        <v>0</v>
      </c>
    </row>
    <row r="35" spans="1:12" s="434" customFormat="1" ht="15">
      <c r="A35" s="433">
        <v>812100</v>
      </c>
      <c r="B35" s="435" t="s">
        <v>427</v>
      </c>
      <c r="C35" s="417">
        <f t="shared" si="1"/>
        <v>0</v>
      </c>
      <c r="D35" s="436"/>
      <c r="E35" s="436"/>
      <c r="F35" s="436"/>
      <c r="G35" s="437"/>
      <c r="H35" s="437"/>
      <c r="I35" s="437">
        <v>310000</v>
      </c>
      <c r="J35" s="437"/>
      <c r="K35" s="419">
        <f t="shared" si="3"/>
        <v>310000</v>
      </c>
      <c r="L35" s="418">
        <f t="shared" si="2"/>
        <v>310000</v>
      </c>
    </row>
    <row r="36" spans="1:12" s="434" customFormat="1" ht="15" hidden="1">
      <c r="A36" s="438"/>
      <c r="B36" s="435"/>
      <c r="C36" s="417">
        <f t="shared" si="1"/>
        <v>0</v>
      </c>
      <c r="D36" s="436"/>
      <c r="E36" s="436"/>
      <c r="F36" s="436"/>
      <c r="G36" s="437"/>
      <c r="H36" s="437"/>
      <c r="I36" s="437"/>
      <c r="J36" s="437"/>
      <c r="K36" s="419">
        <f t="shared" si="3"/>
        <v>0</v>
      </c>
      <c r="L36" s="418">
        <f t="shared" si="2"/>
        <v>0</v>
      </c>
    </row>
    <row r="37" spans="1:12" s="434" customFormat="1" ht="15" hidden="1">
      <c r="A37" s="438"/>
      <c r="B37" s="435"/>
      <c r="C37" s="417">
        <f t="shared" si="1"/>
        <v>0</v>
      </c>
      <c r="D37" s="436"/>
      <c r="E37" s="436"/>
      <c r="F37" s="436"/>
      <c r="G37" s="437"/>
      <c r="H37" s="437"/>
      <c r="I37" s="437"/>
      <c r="J37" s="437"/>
      <c r="K37" s="419">
        <f t="shared" si="3"/>
        <v>0</v>
      </c>
      <c r="L37" s="418">
        <f t="shared" si="2"/>
        <v>0</v>
      </c>
    </row>
    <row r="38" spans="2:29" ht="15">
      <c r="B38" s="435" t="s">
        <v>348</v>
      </c>
      <c r="C38" s="417">
        <f>C5+C7+C15</f>
        <v>646804000</v>
      </c>
      <c r="D38" s="417">
        <f>D5+D7+D15</f>
        <v>73680000</v>
      </c>
      <c r="E38" s="417">
        <f>E5+E7+E15</f>
        <v>517164000</v>
      </c>
      <c r="F38" s="417">
        <f>F5+F7+F15</f>
        <v>55960000</v>
      </c>
      <c r="G38" s="437">
        <f>G15+G14+G7+G6+G5+G34+G35</f>
        <v>17713200</v>
      </c>
      <c r="H38" s="437">
        <f>H15+H14+H7+H6+H5+H34+H35</f>
        <v>523526000</v>
      </c>
      <c r="I38" s="437">
        <f>I15+I14+I7+I6+I5+I34+I35</f>
        <v>53150000</v>
      </c>
      <c r="J38" s="437">
        <f>J15+J14+J7+J6+J5+J34+J35+J13</f>
        <v>0</v>
      </c>
      <c r="K38" s="419">
        <f t="shared" si="3"/>
        <v>594389200</v>
      </c>
      <c r="L38" s="418">
        <f t="shared" si="2"/>
        <v>-52414800</v>
      </c>
      <c r="P38" s="409"/>
      <c r="Q38" s="409"/>
      <c r="R38" s="409"/>
      <c r="S38" s="409"/>
      <c r="T38" s="409"/>
      <c r="U38" s="409"/>
      <c r="V38" s="409"/>
      <c r="W38" s="409"/>
      <c r="AC38" s="409"/>
    </row>
    <row r="39" spans="2:29" ht="15">
      <c r="B39" s="439"/>
      <c r="C39" s="440"/>
      <c r="D39" s="440"/>
      <c r="E39" s="440"/>
      <c r="F39" s="440"/>
      <c r="P39" s="409"/>
      <c r="Q39" s="409"/>
      <c r="R39" s="409"/>
      <c r="S39" s="409"/>
      <c r="T39" s="409"/>
      <c r="U39" s="409"/>
      <c r="V39" s="409"/>
      <c r="W39" s="409"/>
      <c r="AC39" s="409"/>
    </row>
    <row r="40" spans="2:29" ht="15">
      <c r="B40" s="439"/>
      <c r="C40" s="440"/>
      <c r="D40" s="440"/>
      <c r="E40" s="440"/>
      <c r="F40" s="440"/>
      <c r="J40" s="407"/>
      <c r="P40" s="409"/>
      <c r="Q40" s="409"/>
      <c r="R40" s="409"/>
      <c r="S40" s="409"/>
      <c r="T40" s="409"/>
      <c r="U40" s="409"/>
      <c r="V40" s="409"/>
      <c r="W40" s="409"/>
      <c r="AC40" s="409"/>
    </row>
    <row r="41" spans="2:29" ht="15">
      <c r="B41" s="439"/>
      <c r="C41" s="440"/>
      <c r="D41" s="440"/>
      <c r="E41" s="440"/>
      <c r="F41" s="440"/>
      <c r="I41" s="407"/>
      <c r="P41" s="409"/>
      <c r="Q41" s="409"/>
      <c r="R41" s="409"/>
      <c r="S41" s="409"/>
      <c r="T41" s="409"/>
      <c r="U41" s="409"/>
      <c r="V41" s="409"/>
      <c r="W41" s="409"/>
      <c r="AC41" s="409"/>
    </row>
    <row r="42" spans="2:29" ht="15">
      <c r="B42" s="439"/>
      <c r="C42" s="440"/>
      <c r="D42" s="440"/>
      <c r="E42" s="440"/>
      <c r="F42" s="440"/>
      <c r="G42" s="407"/>
      <c r="H42" s="407"/>
      <c r="I42" s="407"/>
      <c r="J42" s="407"/>
      <c r="P42" s="409"/>
      <c r="Q42" s="409"/>
      <c r="R42" s="409"/>
      <c r="S42" s="409"/>
      <c r="T42" s="409"/>
      <c r="U42" s="409"/>
      <c r="V42" s="409"/>
      <c r="W42" s="409"/>
      <c r="AC42" s="409"/>
    </row>
    <row r="43" spans="2:29" ht="15">
      <c r="B43" s="439"/>
      <c r="C43" s="440"/>
      <c r="D43" s="440"/>
      <c r="E43" s="440"/>
      <c r="F43" s="440"/>
      <c r="G43" s="407"/>
      <c r="H43" s="407"/>
      <c r="I43" s="407"/>
      <c r="J43" s="407"/>
      <c r="K43" s="408"/>
      <c r="P43" s="409"/>
      <c r="Q43" s="409"/>
      <c r="R43" s="409"/>
      <c r="S43" s="409"/>
      <c r="T43" s="409"/>
      <c r="U43" s="409"/>
      <c r="V43" s="409"/>
      <c r="W43" s="409"/>
      <c r="AC43" s="409"/>
    </row>
    <row r="44" spans="2:7" s="406" customFormat="1" ht="15">
      <c r="B44" s="441"/>
      <c r="C44" s="442"/>
      <c r="D44" s="442"/>
      <c r="E44" s="442"/>
      <c r="F44" s="442"/>
      <c r="G44" s="406" t="s">
        <v>474</v>
      </c>
    </row>
    <row r="45" spans="1:6" s="406" customFormat="1" ht="15">
      <c r="A45" s="404" t="s">
        <v>434</v>
      </c>
      <c r="B45" s="404"/>
      <c r="C45" s="405"/>
      <c r="D45" s="405"/>
      <c r="E45" s="405"/>
      <c r="F45" s="405"/>
    </row>
    <row r="46" spans="1:12" s="406" customFormat="1" ht="15">
      <c r="A46" s="443"/>
      <c r="B46" s="439"/>
      <c r="C46" s="440"/>
      <c r="D46" s="440"/>
      <c r="E46" s="440"/>
      <c r="F46" s="440"/>
      <c r="G46" s="474" t="s">
        <v>435</v>
      </c>
      <c r="H46" s="474"/>
      <c r="I46" s="474"/>
      <c r="J46" s="474"/>
      <c r="K46" s="475"/>
      <c r="L46" s="475"/>
    </row>
    <row r="47" spans="1:12" s="445" customFormat="1" ht="85.5">
      <c r="A47" s="410" t="s">
        <v>356</v>
      </c>
      <c r="B47" s="410" t="s">
        <v>357</v>
      </c>
      <c r="C47" s="411" t="s">
        <v>471</v>
      </c>
      <c r="D47" s="411" t="s">
        <v>472</v>
      </c>
      <c r="E47" s="411" t="s">
        <v>358</v>
      </c>
      <c r="F47" s="411" t="s">
        <v>473</v>
      </c>
      <c r="G47" s="412" t="s">
        <v>404</v>
      </c>
      <c r="H47" s="412" t="s">
        <v>358</v>
      </c>
      <c r="I47" s="412" t="s">
        <v>359</v>
      </c>
      <c r="J47" s="444" t="s">
        <v>355</v>
      </c>
      <c r="K47" s="412" t="s">
        <v>437</v>
      </c>
      <c r="L47" s="413" t="s">
        <v>436</v>
      </c>
    </row>
    <row r="48" spans="1:12" s="404" customFormat="1" ht="30">
      <c r="A48" s="427" t="s">
        <v>406</v>
      </c>
      <c r="B48" s="446" t="s">
        <v>373</v>
      </c>
      <c r="C48" s="447">
        <f>D48+E48+F48</f>
        <v>431220000</v>
      </c>
      <c r="D48" s="447">
        <f aca="true" t="shared" si="4" ref="D48:J48">D49+D50</f>
        <v>7350000</v>
      </c>
      <c r="E48" s="447">
        <f t="shared" si="4"/>
        <v>411370000</v>
      </c>
      <c r="F48" s="447">
        <f t="shared" si="4"/>
        <v>12500000</v>
      </c>
      <c r="G48" s="418">
        <f t="shared" si="4"/>
        <v>8278200</v>
      </c>
      <c r="H48" s="448">
        <f t="shared" si="4"/>
        <v>415913000</v>
      </c>
      <c r="I48" s="448">
        <f t="shared" si="4"/>
        <v>15000000</v>
      </c>
      <c r="J48" s="448">
        <f t="shared" si="4"/>
        <v>0</v>
      </c>
      <c r="K48" s="448">
        <f aca="true" t="shared" si="5" ref="K48:K77">SUM(G48:J48)</f>
        <v>439191200</v>
      </c>
      <c r="L48" s="448">
        <f>K48-C48</f>
        <v>7971200</v>
      </c>
    </row>
    <row r="49" spans="1:12" s="406" customFormat="1" ht="15">
      <c r="A49" s="420">
        <v>411000</v>
      </c>
      <c r="B49" s="446" t="s">
        <v>407</v>
      </c>
      <c r="C49" s="449">
        <f aca="true" t="shared" si="6" ref="C49:C104">D49+E49+F49</f>
        <v>364156200</v>
      </c>
      <c r="D49" s="449">
        <v>6234000</v>
      </c>
      <c r="E49" s="449">
        <v>347320000</v>
      </c>
      <c r="F49" s="449">
        <v>10602200</v>
      </c>
      <c r="G49" s="419">
        <v>7021000</v>
      </c>
      <c r="H49" s="419">
        <v>352767600</v>
      </c>
      <c r="I49" s="419">
        <v>12723000</v>
      </c>
      <c r="J49" s="450"/>
      <c r="K49" s="448">
        <f t="shared" si="5"/>
        <v>372511600</v>
      </c>
      <c r="L49" s="448">
        <f aca="true" t="shared" si="7" ref="L49:L104">K49-C49</f>
        <v>8355400</v>
      </c>
    </row>
    <row r="50" spans="1:12" s="406" customFormat="1" ht="15">
      <c r="A50" s="420">
        <v>412000</v>
      </c>
      <c r="B50" s="446" t="s">
        <v>360</v>
      </c>
      <c r="C50" s="449">
        <f t="shared" si="6"/>
        <v>67063800</v>
      </c>
      <c r="D50" s="449">
        <v>1116000</v>
      </c>
      <c r="E50" s="449">
        <v>64050000</v>
      </c>
      <c r="F50" s="449">
        <v>1897800</v>
      </c>
      <c r="G50" s="419">
        <v>1257200</v>
      </c>
      <c r="H50" s="419">
        <v>63145400</v>
      </c>
      <c r="I50" s="419">
        <v>2277000</v>
      </c>
      <c r="J50" s="450"/>
      <c r="K50" s="448">
        <f t="shared" si="5"/>
        <v>66679600</v>
      </c>
      <c r="L50" s="448">
        <f t="shared" si="7"/>
        <v>-384200</v>
      </c>
    </row>
    <row r="51" spans="1:12" s="404" customFormat="1" ht="45">
      <c r="A51" s="420">
        <v>413000</v>
      </c>
      <c r="B51" s="451" t="s">
        <v>418</v>
      </c>
      <c r="C51" s="447">
        <f t="shared" si="6"/>
        <v>1000000</v>
      </c>
      <c r="D51" s="452"/>
      <c r="E51" s="452"/>
      <c r="F51" s="452">
        <v>1000000</v>
      </c>
      <c r="G51" s="418"/>
      <c r="H51" s="448">
        <v>0</v>
      </c>
      <c r="I51" s="448">
        <v>700000</v>
      </c>
      <c r="J51" s="450"/>
      <c r="K51" s="448">
        <f t="shared" si="5"/>
        <v>700000</v>
      </c>
      <c r="L51" s="448">
        <f t="shared" si="7"/>
        <v>-300000</v>
      </c>
    </row>
    <row r="52" spans="1:12" s="404" customFormat="1" ht="60">
      <c r="A52" s="420">
        <v>414000</v>
      </c>
      <c r="B52" s="427" t="s">
        <v>422</v>
      </c>
      <c r="C52" s="447">
        <f t="shared" si="6"/>
        <v>615000</v>
      </c>
      <c r="D52" s="429"/>
      <c r="E52" s="429"/>
      <c r="F52" s="429">
        <v>615000</v>
      </c>
      <c r="G52" s="418"/>
      <c r="H52" s="448">
        <f>H53+H54+H55</f>
        <v>0</v>
      </c>
      <c r="I52" s="448">
        <f>I53+I54+I55</f>
        <v>680000</v>
      </c>
      <c r="J52" s="450"/>
      <c r="K52" s="448">
        <f t="shared" si="5"/>
        <v>680000</v>
      </c>
      <c r="L52" s="448">
        <f t="shared" si="7"/>
        <v>65000</v>
      </c>
    </row>
    <row r="53" spans="1:12" s="406" customFormat="1" ht="15">
      <c r="A53" s="425">
        <v>414100</v>
      </c>
      <c r="B53" s="431" t="s">
        <v>419</v>
      </c>
      <c r="C53" s="447">
        <f t="shared" si="6"/>
        <v>0</v>
      </c>
      <c r="D53" s="432"/>
      <c r="E53" s="432"/>
      <c r="F53" s="432"/>
      <c r="G53" s="419"/>
      <c r="H53" s="453"/>
      <c r="I53" s="453"/>
      <c r="J53" s="450"/>
      <c r="K53" s="448">
        <f t="shared" si="5"/>
        <v>0</v>
      </c>
      <c r="L53" s="448">
        <f t="shared" si="7"/>
        <v>0</v>
      </c>
    </row>
    <row r="54" spans="1:12" s="406" customFormat="1" ht="15">
      <c r="A54" s="425">
        <v>414300</v>
      </c>
      <c r="B54" s="431" t="s">
        <v>420</v>
      </c>
      <c r="C54" s="447">
        <f t="shared" si="6"/>
        <v>0</v>
      </c>
      <c r="D54" s="432"/>
      <c r="E54" s="432"/>
      <c r="F54" s="432"/>
      <c r="G54" s="419"/>
      <c r="H54" s="453"/>
      <c r="I54" s="453">
        <v>620000</v>
      </c>
      <c r="J54" s="450"/>
      <c r="K54" s="448">
        <f t="shared" si="5"/>
        <v>620000</v>
      </c>
      <c r="L54" s="448">
        <f t="shared" si="7"/>
        <v>620000</v>
      </c>
    </row>
    <row r="55" spans="1:12" s="406" customFormat="1" ht="29.25">
      <c r="A55" s="425">
        <v>414400</v>
      </c>
      <c r="B55" s="431" t="s">
        <v>421</v>
      </c>
      <c r="C55" s="447">
        <f t="shared" si="6"/>
        <v>0</v>
      </c>
      <c r="D55" s="432"/>
      <c r="E55" s="432"/>
      <c r="F55" s="432"/>
      <c r="G55" s="419"/>
      <c r="H55" s="419"/>
      <c r="I55" s="419">
        <v>60000</v>
      </c>
      <c r="J55" s="450"/>
      <c r="K55" s="448">
        <f t="shared" si="5"/>
        <v>60000</v>
      </c>
      <c r="L55" s="448">
        <f t="shared" si="7"/>
        <v>60000</v>
      </c>
    </row>
    <row r="56" spans="1:12" s="404" customFormat="1" ht="30">
      <c r="A56" s="420">
        <v>415000</v>
      </c>
      <c r="B56" s="451" t="s">
        <v>374</v>
      </c>
      <c r="C56" s="447">
        <f t="shared" si="6"/>
        <v>13642000</v>
      </c>
      <c r="D56" s="452"/>
      <c r="E56" s="452">
        <v>13442000</v>
      </c>
      <c r="F56" s="452">
        <v>200000</v>
      </c>
      <c r="G56" s="418"/>
      <c r="H56" s="419">
        <f>10786000+1356000</f>
        <v>12142000</v>
      </c>
      <c r="I56" s="418">
        <v>250000</v>
      </c>
      <c r="J56" s="450"/>
      <c r="K56" s="448">
        <f t="shared" si="5"/>
        <v>12392000</v>
      </c>
      <c r="L56" s="448">
        <f t="shared" si="7"/>
        <v>-1250000</v>
      </c>
    </row>
    <row r="57" spans="1:12" s="404" customFormat="1" ht="30">
      <c r="A57" s="420">
        <v>416000</v>
      </c>
      <c r="B57" s="451" t="s">
        <v>375</v>
      </c>
      <c r="C57" s="447">
        <f t="shared" si="6"/>
        <v>0</v>
      </c>
      <c r="D57" s="452"/>
      <c r="E57" s="452"/>
      <c r="F57" s="452"/>
      <c r="G57" s="418"/>
      <c r="H57" s="448"/>
      <c r="I57" s="448"/>
      <c r="J57" s="450"/>
      <c r="K57" s="448">
        <f t="shared" si="5"/>
        <v>0</v>
      </c>
      <c r="L57" s="448">
        <f t="shared" si="7"/>
        <v>0</v>
      </c>
    </row>
    <row r="58" spans="1:12" s="404" customFormat="1" ht="15">
      <c r="A58" s="420">
        <v>421000</v>
      </c>
      <c r="B58" s="451" t="s">
        <v>361</v>
      </c>
      <c r="C58" s="447">
        <f t="shared" si="6"/>
        <v>23484000</v>
      </c>
      <c r="D58" s="452"/>
      <c r="E58" s="452">
        <v>22400000</v>
      </c>
      <c r="F58" s="452">
        <v>1084000</v>
      </c>
      <c r="G58" s="418"/>
      <c r="H58" s="448">
        <f>H59+H60+H61+H62+H63</f>
        <v>20278000</v>
      </c>
      <c r="I58" s="448">
        <f>I59+I60+I61+I62+I63+I64+I65</f>
        <v>1095000</v>
      </c>
      <c r="J58" s="450"/>
      <c r="K58" s="448">
        <f t="shared" si="5"/>
        <v>21373000</v>
      </c>
      <c r="L58" s="448">
        <f t="shared" si="7"/>
        <v>-2111000</v>
      </c>
    </row>
    <row r="59" spans="1:12" s="406" customFormat="1" ht="15">
      <c r="A59" s="425">
        <v>421100</v>
      </c>
      <c r="B59" s="454" t="s">
        <v>101</v>
      </c>
      <c r="C59" s="447">
        <f t="shared" si="6"/>
        <v>0</v>
      </c>
      <c r="D59" s="449"/>
      <c r="E59" s="449"/>
      <c r="F59" s="449"/>
      <c r="G59" s="419"/>
      <c r="H59" s="453">
        <v>778000</v>
      </c>
      <c r="I59" s="419">
        <v>200000</v>
      </c>
      <c r="J59" s="450"/>
      <c r="K59" s="448">
        <f t="shared" si="5"/>
        <v>978000</v>
      </c>
      <c r="L59" s="448">
        <f t="shared" si="7"/>
        <v>978000</v>
      </c>
    </row>
    <row r="60" spans="1:12" s="406" customFormat="1" ht="15">
      <c r="A60" s="425">
        <v>421200</v>
      </c>
      <c r="B60" s="454" t="s">
        <v>102</v>
      </c>
      <c r="C60" s="447">
        <f t="shared" si="6"/>
        <v>0</v>
      </c>
      <c r="D60" s="449"/>
      <c r="E60" s="449"/>
      <c r="F60" s="449"/>
      <c r="G60" s="419"/>
      <c r="H60" s="419">
        <v>14000000</v>
      </c>
      <c r="I60" s="419">
        <v>200000</v>
      </c>
      <c r="J60" s="450"/>
      <c r="K60" s="448">
        <f t="shared" si="5"/>
        <v>14200000</v>
      </c>
      <c r="L60" s="448">
        <f t="shared" si="7"/>
        <v>14200000</v>
      </c>
    </row>
    <row r="61" spans="1:12" s="406" customFormat="1" ht="15">
      <c r="A61" s="425">
        <v>421300</v>
      </c>
      <c r="B61" s="454" t="s">
        <v>428</v>
      </c>
      <c r="C61" s="447">
        <f t="shared" si="6"/>
        <v>0</v>
      </c>
      <c r="D61" s="449"/>
      <c r="E61" s="449"/>
      <c r="F61" s="449"/>
      <c r="G61" s="419"/>
      <c r="H61" s="453">
        <v>3000000</v>
      </c>
      <c r="I61" s="419">
        <v>250000</v>
      </c>
      <c r="J61" s="450"/>
      <c r="K61" s="448">
        <f t="shared" si="5"/>
        <v>3250000</v>
      </c>
      <c r="L61" s="448">
        <f t="shared" si="7"/>
        <v>3250000</v>
      </c>
    </row>
    <row r="62" spans="1:12" s="406" customFormat="1" ht="15">
      <c r="A62" s="425">
        <v>421400</v>
      </c>
      <c r="B62" s="454" t="s">
        <v>104</v>
      </c>
      <c r="C62" s="447">
        <f t="shared" si="6"/>
        <v>0</v>
      </c>
      <c r="D62" s="449"/>
      <c r="E62" s="449"/>
      <c r="F62" s="449"/>
      <c r="G62" s="419"/>
      <c r="H62" s="453">
        <v>1500000</v>
      </c>
      <c r="I62" s="419">
        <v>70000</v>
      </c>
      <c r="J62" s="450"/>
      <c r="K62" s="448">
        <f t="shared" si="5"/>
        <v>1570000</v>
      </c>
      <c r="L62" s="448">
        <f t="shared" si="7"/>
        <v>1570000</v>
      </c>
    </row>
    <row r="63" spans="1:12" s="406" customFormat="1" ht="15">
      <c r="A63" s="425">
        <v>421500</v>
      </c>
      <c r="B63" s="454" t="s">
        <v>169</v>
      </c>
      <c r="C63" s="447">
        <f t="shared" si="6"/>
        <v>0</v>
      </c>
      <c r="D63" s="449"/>
      <c r="E63" s="449"/>
      <c r="F63" s="449"/>
      <c r="G63" s="419"/>
      <c r="H63" s="453">
        <v>1000000</v>
      </c>
      <c r="I63" s="419"/>
      <c r="J63" s="450"/>
      <c r="K63" s="448">
        <f t="shared" si="5"/>
        <v>1000000</v>
      </c>
      <c r="L63" s="448">
        <f t="shared" si="7"/>
        <v>1000000</v>
      </c>
    </row>
    <row r="64" spans="1:12" s="406" customFormat="1" ht="15">
      <c r="A64" s="425">
        <v>421911</v>
      </c>
      <c r="B64" s="454" t="s">
        <v>416</v>
      </c>
      <c r="C64" s="447">
        <f t="shared" si="6"/>
        <v>0</v>
      </c>
      <c r="D64" s="449"/>
      <c r="E64" s="449"/>
      <c r="F64" s="449"/>
      <c r="G64" s="419"/>
      <c r="H64" s="453"/>
      <c r="I64" s="453">
        <v>5000</v>
      </c>
      <c r="J64" s="450"/>
      <c r="K64" s="448">
        <f t="shared" si="5"/>
        <v>5000</v>
      </c>
      <c r="L64" s="448">
        <f t="shared" si="7"/>
        <v>5000</v>
      </c>
    </row>
    <row r="65" spans="1:12" s="406" customFormat="1" ht="43.5">
      <c r="A65" s="425">
        <v>421919</v>
      </c>
      <c r="B65" s="455" t="s">
        <v>424</v>
      </c>
      <c r="C65" s="447">
        <f t="shared" si="6"/>
        <v>0</v>
      </c>
      <c r="D65" s="456"/>
      <c r="E65" s="456"/>
      <c r="F65" s="456"/>
      <c r="G65" s="419"/>
      <c r="H65" s="453"/>
      <c r="I65" s="453">
        <v>370000</v>
      </c>
      <c r="J65" s="450"/>
      <c r="K65" s="448">
        <f t="shared" si="5"/>
        <v>370000</v>
      </c>
      <c r="L65" s="448">
        <f t="shared" si="7"/>
        <v>370000</v>
      </c>
    </row>
    <row r="66" spans="1:12" s="404" customFormat="1" ht="15">
      <c r="A66" s="420">
        <v>422000</v>
      </c>
      <c r="B66" s="446" t="s">
        <v>413</v>
      </c>
      <c r="C66" s="447">
        <f t="shared" si="6"/>
        <v>1200000</v>
      </c>
      <c r="D66" s="447"/>
      <c r="E66" s="447">
        <v>300000</v>
      </c>
      <c r="F66" s="447">
        <v>900000</v>
      </c>
      <c r="G66" s="418"/>
      <c r="H66" s="448">
        <v>250000</v>
      </c>
      <c r="I66" s="448">
        <v>700000</v>
      </c>
      <c r="J66" s="450"/>
      <c r="K66" s="448">
        <f t="shared" si="5"/>
        <v>950000</v>
      </c>
      <c r="L66" s="448">
        <f t="shared" si="7"/>
        <v>-250000</v>
      </c>
    </row>
    <row r="67" spans="1:12" s="404" customFormat="1" ht="12" customHeight="1">
      <c r="A67" s="420">
        <v>423000</v>
      </c>
      <c r="B67" s="446" t="s">
        <v>362</v>
      </c>
      <c r="C67" s="447">
        <f t="shared" si="6"/>
        <v>17261000</v>
      </c>
      <c r="D67" s="447"/>
      <c r="E67" s="447">
        <v>4031000</v>
      </c>
      <c r="F67" s="447">
        <v>13230000</v>
      </c>
      <c r="G67" s="418"/>
      <c r="H67" s="448">
        <f>H68+H69+H70+H71+H72+H73+H74</f>
        <v>6750000</v>
      </c>
      <c r="I67" s="448">
        <f>I68+I69+I70+I71+I72+I73+I74</f>
        <v>14360000</v>
      </c>
      <c r="J67" s="450"/>
      <c r="K67" s="448">
        <f t="shared" si="5"/>
        <v>21110000</v>
      </c>
      <c r="L67" s="448">
        <f t="shared" si="7"/>
        <v>3849000</v>
      </c>
    </row>
    <row r="68" spans="1:12" s="406" customFormat="1" ht="15">
      <c r="A68" s="425">
        <v>423200</v>
      </c>
      <c r="B68" s="454" t="s">
        <v>106</v>
      </c>
      <c r="C68" s="447">
        <f t="shared" si="6"/>
        <v>0</v>
      </c>
      <c r="D68" s="449"/>
      <c r="E68" s="449"/>
      <c r="F68" s="449"/>
      <c r="G68" s="419"/>
      <c r="H68" s="453">
        <v>2600000</v>
      </c>
      <c r="I68" s="419"/>
      <c r="J68" s="450"/>
      <c r="K68" s="448">
        <f t="shared" si="5"/>
        <v>2600000</v>
      </c>
      <c r="L68" s="448">
        <f t="shared" si="7"/>
        <v>2600000</v>
      </c>
    </row>
    <row r="69" spans="1:12" s="406" customFormat="1" ht="15">
      <c r="A69" s="425">
        <v>423300</v>
      </c>
      <c r="B69" s="454" t="s">
        <v>107</v>
      </c>
      <c r="C69" s="447">
        <f t="shared" si="6"/>
        <v>0</v>
      </c>
      <c r="D69" s="449"/>
      <c r="E69" s="449"/>
      <c r="F69" s="449"/>
      <c r="G69" s="419"/>
      <c r="H69" s="453">
        <v>1500000</v>
      </c>
      <c r="I69" s="419">
        <v>400000</v>
      </c>
      <c r="J69" s="450"/>
      <c r="K69" s="448">
        <f t="shared" si="5"/>
        <v>1900000</v>
      </c>
      <c r="L69" s="448">
        <f t="shared" si="7"/>
        <v>1900000</v>
      </c>
    </row>
    <row r="70" spans="1:12" s="406" customFormat="1" ht="15">
      <c r="A70" s="425">
        <v>423400</v>
      </c>
      <c r="B70" s="454" t="s">
        <v>108</v>
      </c>
      <c r="C70" s="447">
        <f t="shared" si="6"/>
        <v>0</v>
      </c>
      <c r="D70" s="449"/>
      <c r="E70" s="449"/>
      <c r="F70" s="449"/>
      <c r="G70" s="419"/>
      <c r="H70" s="453">
        <v>500000</v>
      </c>
      <c r="I70" s="419">
        <v>60000</v>
      </c>
      <c r="J70" s="450"/>
      <c r="K70" s="448">
        <f t="shared" si="5"/>
        <v>560000</v>
      </c>
      <c r="L70" s="448">
        <f t="shared" si="7"/>
        <v>560000</v>
      </c>
    </row>
    <row r="71" spans="1:12" s="406" customFormat="1" ht="43.5">
      <c r="A71" s="425">
        <v>423500</v>
      </c>
      <c r="B71" s="455" t="s">
        <v>412</v>
      </c>
      <c r="C71" s="447">
        <f t="shared" si="6"/>
        <v>0</v>
      </c>
      <c r="D71" s="456"/>
      <c r="E71" s="456"/>
      <c r="F71" s="456"/>
      <c r="G71" s="419"/>
      <c r="H71" s="453"/>
      <c r="I71" s="419">
        <v>12500000</v>
      </c>
      <c r="J71" s="450"/>
      <c r="K71" s="448">
        <f t="shared" si="5"/>
        <v>12500000</v>
      </c>
      <c r="L71" s="448">
        <f t="shared" si="7"/>
        <v>12500000</v>
      </c>
    </row>
    <row r="72" spans="1:12" s="406" customFormat="1" ht="15">
      <c r="A72" s="425">
        <v>423600</v>
      </c>
      <c r="B72" s="454" t="s">
        <v>393</v>
      </c>
      <c r="C72" s="447">
        <f t="shared" si="6"/>
        <v>0</v>
      </c>
      <c r="D72" s="449"/>
      <c r="E72" s="449"/>
      <c r="F72" s="449"/>
      <c r="G72" s="419"/>
      <c r="H72" s="453">
        <v>1550000</v>
      </c>
      <c r="I72" s="419"/>
      <c r="J72" s="450"/>
      <c r="K72" s="448">
        <f t="shared" si="5"/>
        <v>1550000</v>
      </c>
      <c r="L72" s="448">
        <f t="shared" si="7"/>
        <v>1550000</v>
      </c>
    </row>
    <row r="73" spans="1:12" s="406" customFormat="1" ht="15">
      <c r="A73" s="425">
        <v>423700</v>
      </c>
      <c r="B73" s="454" t="s">
        <v>47</v>
      </c>
      <c r="C73" s="447">
        <f t="shared" si="6"/>
        <v>0</v>
      </c>
      <c r="D73" s="449"/>
      <c r="E73" s="449"/>
      <c r="F73" s="449"/>
      <c r="G73" s="419"/>
      <c r="H73" s="453"/>
      <c r="I73" s="419">
        <v>1200000</v>
      </c>
      <c r="J73" s="450"/>
      <c r="K73" s="448">
        <f t="shared" si="5"/>
        <v>1200000</v>
      </c>
      <c r="L73" s="448">
        <f t="shared" si="7"/>
        <v>1200000</v>
      </c>
    </row>
    <row r="74" spans="1:12" s="406" customFormat="1" ht="15">
      <c r="A74" s="425">
        <v>423900</v>
      </c>
      <c r="B74" s="455" t="s">
        <v>48</v>
      </c>
      <c r="C74" s="447">
        <f t="shared" si="6"/>
        <v>0</v>
      </c>
      <c r="D74" s="456"/>
      <c r="E74" s="456"/>
      <c r="F74" s="456"/>
      <c r="G74" s="419"/>
      <c r="H74" s="453">
        <v>600000</v>
      </c>
      <c r="I74" s="419">
        <v>200000</v>
      </c>
      <c r="J74" s="450"/>
      <c r="K74" s="448">
        <f t="shared" si="5"/>
        <v>800000</v>
      </c>
      <c r="L74" s="448">
        <f t="shared" si="7"/>
        <v>800000</v>
      </c>
    </row>
    <row r="75" spans="1:12" s="404" customFormat="1" ht="15">
      <c r="A75" s="420">
        <v>424000</v>
      </c>
      <c r="B75" s="446" t="s">
        <v>363</v>
      </c>
      <c r="C75" s="447">
        <f t="shared" si="6"/>
        <v>3700000</v>
      </c>
      <c r="D75" s="447"/>
      <c r="E75" s="447">
        <v>300000</v>
      </c>
      <c r="F75" s="447">
        <v>3400000</v>
      </c>
      <c r="G75" s="418"/>
      <c r="H75" s="448">
        <f>H76+H77</f>
        <v>400000</v>
      </c>
      <c r="I75" s="448">
        <f>I76+I77</f>
        <v>2020000</v>
      </c>
      <c r="J75" s="450"/>
      <c r="K75" s="448">
        <f t="shared" si="5"/>
        <v>2420000</v>
      </c>
      <c r="L75" s="448">
        <f t="shared" si="7"/>
        <v>-1280000</v>
      </c>
    </row>
    <row r="76" spans="1:12" s="406" customFormat="1" ht="15">
      <c r="A76" s="425">
        <v>424300</v>
      </c>
      <c r="B76" s="454" t="s">
        <v>401</v>
      </c>
      <c r="C76" s="447">
        <f t="shared" si="6"/>
        <v>0</v>
      </c>
      <c r="D76" s="449"/>
      <c r="E76" s="449"/>
      <c r="F76" s="449"/>
      <c r="G76" s="419"/>
      <c r="H76" s="453">
        <v>400000</v>
      </c>
      <c r="I76" s="419">
        <v>1650000</v>
      </c>
      <c r="J76" s="450"/>
      <c r="K76" s="448">
        <f t="shared" si="5"/>
        <v>2050000</v>
      </c>
      <c r="L76" s="448">
        <f t="shared" si="7"/>
        <v>2050000</v>
      </c>
    </row>
    <row r="77" spans="1:12" s="406" customFormat="1" ht="15">
      <c r="A77" s="425">
        <v>424900</v>
      </c>
      <c r="B77" s="454" t="s">
        <v>425</v>
      </c>
      <c r="C77" s="447">
        <f t="shared" si="6"/>
        <v>0</v>
      </c>
      <c r="D77" s="449"/>
      <c r="E77" s="449"/>
      <c r="F77" s="449"/>
      <c r="G77" s="419"/>
      <c r="H77" s="453"/>
      <c r="I77" s="419">
        <v>370000</v>
      </c>
      <c r="J77" s="450"/>
      <c r="K77" s="448">
        <f t="shared" si="5"/>
        <v>370000</v>
      </c>
      <c r="L77" s="448">
        <f t="shared" si="7"/>
        <v>370000</v>
      </c>
    </row>
    <row r="78" spans="1:12" s="406" customFormat="1" ht="85.5">
      <c r="A78" s="410" t="s">
        <v>356</v>
      </c>
      <c r="B78" s="410" t="s">
        <v>357</v>
      </c>
      <c r="C78" s="411" t="s">
        <v>471</v>
      </c>
      <c r="D78" s="411" t="s">
        <v>472</v>
      </c>
      <c r="E78" s="411" t="s">
        <v>358</v>
      </c>
      <c r="F78" s="411" t="s">
        <v>473</v>
      </c>
      <c r="G78" s="412" t="s">
        <v>404</v>
      </c>
      <c r="H78" s="412" t="s">
        <v>358</v>
      </c>
      <c r="I78" s="412" t="s">
        <v>359</v>
      </c>
      <c r="J78" s="457" t="s">
        <v>355</v>
      </c>
      <c r="K78" s="412" t="s">
        <v>437</v>
      </c>
      <c r="L78" s="413" t="s">
        <v>436</v>
      </c>
    </row>
    <row r="79" spans="1:12" s="404" customFormat="1" ht="15">
      <c r="A79" s="420">
        <v>425000</v>
      </c>
      <c r="B79" s="446" t="s">
        <v>364</v>
      </c>
      <c r="C79" s="447">
        <f t="shared" si="6"/>
        <v>15430400</v>
      </c>
      <c r="D79" s="447"/>
      <c r="E79" s="447">
        <v>6500000</v>
      </c>
      <c r="F79" s="447">
        <v>8930400</v>
      </c>
      <c r="G79" s="418"/>
      <c r="H79" s="448">
        <f>H80+H81</f>
        <v>4850000</v>
      </c>
      <c r="I79" s="448">
        <f>I80+I81</f>
        <v>470000</v>
      </c>
      <c r="J79" s="450"/>
      <c r="K79" s="448">
        <f aca="true" t="shared" si="8" ref="K79:K104">SUM(G79:J79)</f>
        <v>5320000</v>
      </c>
      <c r="L79" s="448">
        <f t="shared" si="7"/>
        <v>-10110400</v>
      </c>
    </row>
    <row r="80" spans="1:12" s="406" customFormat="1" ht="29.25">
      <c r="A80" s="425">
        <v>425100</v>
      </c>
      <c r="B80" s="455" t="s">
        <v>470</v>
      </c>
      <c r="C80" s="447">
        <f t="shared" si="6"/>
        <v>0</v>
      </c>
      <c r="D80" s="456"/>
      <c r="E80" s="456"/>
      <c r="F80" s="456"/>
      <c r="G80" s="419"/>
      <c r="H80" s="453">
        <v>2150000</v>
      </c>
      <c r="I80" s="419">
        <v>450000</v>
      </c>
      <c r="J80" s="450"/>
      <c r="K80" s="448">
        <f t="shared" si="8"/>
        <v>2600000</v>
      </c>
      <c r="L80" s="448">
        <f t="shared" si="7"/>
        <v>2600000</v>
      </c>
    </row>
    <row r="81" spans="1:12" s="406" customFormat="1" ht="15">
      <c r="A81" s="425">
        <v>425200</v>
      </c>
      <c r="B81" s="454" t="s">
        <v>113</v>
      </c>
      <c r="C81" s="447">
        <f t="shared" si="6"/>
        <v>0</v>
      </c>
      <c r="D81" s="449"/>
      <c r="E81" s="449"/>
      <c r="F81" s="449"/>
      <c r="G81" s="419"/>
      <c r="H81" s="453">
        <v>2700000</v>
      </c>
      <c r="I81" s="419">
        <v>20000</v>
      </c>
      <c r="J81" s="450"/>
      <c r="K81" s="448">
        <f t="shared" si="8"/>
        <v>2720000</v>
      </c>
      <c r="L81" s="448">
        <f t="shared" si="7"/>
        <v>2720000</v>
      </c>
    </row>
    <row r="82" spans="1:12" s="404" customFormat="1" ht="15">
      <c r="A82" s="420">
        <v>426000</v>
      </c>
      <c r="B82" s="446" t="s">
        <v>365</v>
      </c>
      <c r="C82" s="447">
        <f t="shared" si="6"/>
        <v>62887000</v>
      </c>
      <c r="D82" s="447"/>
      <c r="E82" s="447">
        <v>58641000</v>
      </c>
      <c r="F82" s="447">
        <v>4246000</v>
      </c>
      <c r="G82" s="418"/>
      <c r="H82" s="448">
        <f>H83+H84+H85+H87+H93+H94+H86</f>
        <v>62763000</v>
      </c>
      <c r="I82" s="448">
        <f>I83+I84+I85+I87+I93+I94+I86</f>
        <v>3640000</v>
      </c>
      <c r="J82" s="448"/>
      <c r="K82" s="448">
        <f t="shared" si="8"/>
        <v>66403000</v>
      </c>
      <c r="L82" s="448">
        <f t="shared" si="7"/>
        <v>3516000</v>
      </c>
    </row>
    <row r="83" spans="1:12" s="406" customFormat="1" ht="15">
      <c r="A83" s="425">
        <v>426100</v>
      </c>
      <c r="B83" s="454" t="s">
        <v>114</v>
      </c>
      <c r="C83" s="447">
        <f t="shared" si="6"/>
        <v>0</v>
      </c>
      <c r="D83" s="449"/>
      <c r="E83" s="449"/>
      <c r="F83" s="449"/>
      <c r="G83" s="419"/>
      <c r="H83" s="453">
        <v>3500000</v>
      </c>
      <c r="I83" s="419">
        <v>250000</v>
      </c>
      <c r="J83" s="450"/>
      <c r="K83" s="448">
        <f t="shared" si="8"/>
        <v>3750000</v>
      </c>
      <c r="L83" s="448">
        <f t="shared" si="7"/>
        <v>3750000</v>
      </c>
    </row>
    <row r="84" spans="1:12" s="406" customFormat="1" ht="15">
      <c r="A84" s="425">
        <v>426300</v>
      </c>
      <c r="B84" s="454" t="s">
        <v>417</v>
      </c>
      <c r="C84" s="447">
        <f t="shared" si="6"/>
        <v>0</v>
      </c>
      <c r="D84" s="449"/>
      <c r="E84" s="449"/>
      <c r="F84" s="449"/>
      <c r="G84" s="419"/>
      <c r="H84" s="453"/>
      <c r="I84" s="419">
        <v>400000</v>
      </c>
      <c r="J84" s="450"/>
      <c r="K84" s="448">
        <f t="shared" si="8"/>
        <v>400000</v>
      </c>
      <c r="L84" s="448">
        <f t="shared" si="7"/>
        <v>400000</v>
      </c>
    </row>
    <row r="85" spans="1:12" s="406" customFormat="1" ht="15">
      <c r="A85" s="425">
        <v>426400</v>
      </c>
      <c r="B85" s="454" t="s">
        <v>366</v>
      </c>
      <c r="C85" s="447">
        <f t="shared" si="6"/>
        <v>0</v>
      </c>
      <c r="D85" s="449"/>
      <c r="E85" s="449"/>
      <c r="F85" s="449"/>
      <c r="G85" s="419"/>
      <c r="H85" s="453">
        <v>10200000</v>
      </c>
      <c r="I85" s="419"/>
      <c r="J85" s="450"/>
      <c r="K85" s="448">
        <f t="shared" si="8"/>
        <v>10200000</v>
      </c>
      <c r="L85" s="448">
        <f t="shared" si="7"/>
        <v>10200000</v>
      </c>
    </row>
    <row r="86" spans="1:12" s="406" customFormat="1" ht="15">
      <c r="A86" s="425">
        <v>426591</v>
      </c>
      <c r="B86" s="454" t="s">
        <v>415</v>
      </c>
      <c r="C86" s="447">
        <f t="shared" si="6"/>
        <v>0</v>
      </c>
      <c r="D86" s="449"/>
      <c r="E86" s="449"/>
      <c r="F86" s="449"/>
      <c r="G86" s="419"/>
      <c r="H86" s="453">
        <v>450000</v>
      </c>
      <c r="I86" s="453"/>
      <c r="J86" s="450"/>
      <c r="K86" s="448">
        <f t="shared" si="8"/>
        <v>450000</v>
      </c>
      <c r="L86" s="448">
        <f t="shared" si="7"/>
        <v>450000</v>
      </c>
    </row>
    <row r="87" spans="1:12" s="406" customFormat="1" ht="15">
      <c r="A87" s="425">
        <v>426700</v>
      </c>
      <c r="B87" s="446" t="s">
        <v>389</v>
      </c>
      <c r="C87" s="447">
        <f t="shared" si="6"/>
        <v>0</v>
      </c>
      <c r="D87" s="447"/>
      <c r="E87" s="447"/>
      <c r="F87" s="447"/>
      <c r="G87" s="419"/>
      <c r="H87" s="448">
        <f>H88+H90+H89+H91+H92</f>
        <v>45713000</v>
      </c>
      <c r="I87" s="448">
        <f>I88+I90+I89+I92</f>
        <v>2350000</v>
      </c>
      <c r="J87" s="448">
        <f>J88+J90+J89+J92</f>
        <v>0</v>
      </c>
      <c r="K87" s="448">
        <f t="shared" si="8"/>
        <v>48063000</v>
      </c>
      <c r="L87" s="448">
        <f t="shared" si="7"/>
        <v>48063000</v>
      </c>
    </row>
    <row r="88" spans="1:12" s="406" customFormat="1" ht="29.25">
      <c r="A88" s="425">
        <v>426711</v>
      </c>
      <c r="B88" s="455" t="s">
        <v>414</v>
      </c>
      <c r="C88" s="447">
        <f t="shared" si="6"/>
        <v>0</v>
      </c>
      <c r="D88" s="456"/>
      <c r="E88" s="456"/>
      <c r="F88" s="456"/>
      <c r="G88" s="419"/>
      <c r="H88" s="419">
        <v>24885000</v>
      </c>
      <c r="I88" s="419">
        <v>1000000</v>
      </c>
      <c r="J88" s="450"/>
      <c r="K88" s="448">
        <f t="shared" si="8"/>
        <v>25885000</v>
      </c>
      <c r="L88" s="448">
        <f t="shared" si="7"/>
        <v>25885000</v>
      </c>
    </row>
    <row r="89" spans="1:12" s="406" customFormat="1" ht="15">
      <c r="A89" s="425">
        <v>4267113</v>
      </c>
      <c r="B89" s="454" t="s">
        <v>367</v>
      </c>
      <c r="C89" s="447">
        <f t="shared" si="6"/>
        <v>0</v>
      </c>
      <c r="D89" s="449"/>
      <c r="E89" s="449"/>
      <c r="F89" s="449"/>
      <c r="G89" s="419"/>
      <c r="H89" s="453">
        <v>3000000</v>
      </c>
      <c r="I89" s="419">
        <v>50000</v>
      </c>
      <c r="J89" s="450"/>
      <c r="K89" s="448">
        <f t="shared" si="8"/>
        <v>3050000</v>
      </c>
      <c r="L89" s="448">
        <f t="shared" si="7"/>
        <v>3050000</v>
      </c>
    </row>
    <row r="90" spans="1:12" s="406" customFormat="1" ht="15">
      <c r="A90" s="443">
        <v>4267511</v>
      </c>
      <c r="B90" s="454" t="s">
        <v>410</v>
      </c>
      <c r="C90" s="447">
        <f t="shared" si="6"/>
        <v>0</v>
      </c>
      <c r="D90" s="449"/>
      <c r="E90" s="449"/>
      <c r="F90" s="449"/>
      <c r="G90" s="419"/>
      <c r="H90" s="419">
        <v>12936000</v>
      </c>
      <c r="I90" s="419">
        <v>300000</v>
      </c>
      <c r="J90" s="450"/>
      <c r="K90" s="448">
        <f t="shared" si="8"/>
        <v>13236000</v>
      </c>
      <c r="L90" s="448">
        <f t="shared" si="7"/>
        <v>13236000</v>
      </c>
    </row>
    <row r="91" spans="1:12" s="406" customFormat="1" ht="15">
      <c r="A91" s="443">
        <v>4267512</v>
      </c>
      <c r="B91" s="454" t="s">
        <v>423</v>
      </c>
      <c r="C91" s="447">
        <f t="shared" si="6"/>
        <v>0</v>
      </c>
      <c r="D91" s="449"/>
      <c r="E91" s="449"/>
      <c r="F91" s="449"/>
      <c r="G91" s="419"/>
      <c r="H91" s="453"/>
      <c r="I91" s="419"/>
      <c r="J91" s="450"/>
      <c r="K91" s="448">
        <f t="shared" si="8"/>
        <v>0</v>
      </c>
      <c r="L91" s="448">
        <f t="shared" si="7"/>
        <v>0</v>
      </c>
    </row>
    <row r="92" spans="1:12" s="406" customFormat="1" ht="15">
      <c r="A92" s="443">
        <v>426791</v>
      </c>
      <c r="B92" s="454" t="s">
        <v>429</v>
      </c>
      <c r="C92" s="447">
        <f t="shared" si="6"/>
        <v>0</v>
      </c>
      <c r="D92" s="449"/>
      <c r="E92" s="449"/>
      <c r="F92" s="449"/>
      <c r="G92" s="419"/>
      <c r="H92" s="453">
        <f>300000+100000+1322000+1200000+1970000</f>
        <v>4892000</v>
      </c>
      <c r="I92" s="419">
        <v>1000000</v>
      </c>
      <c r="J92" s="450"/>
      <c r="K92" s="448">
        <f t="shared" si="8"/>
        <v>5892000</v>
      </c>
      <c r="L92" s="448">
        <f t="shared" si="7"/>
        <v>5892000</v>
      </c>
    </row>
    <row r="93" spans="1:12" s="406" customFormat="1" ht="15">
      <c r="A93" s="425">
        <v>426800</v>
      </c>
      <c r="B93" s="454" t="s">
        <v>430</v>
      </c>
      <c r="C93" s="447">
        <f t="shared" si="6"/>
        <v>0</v>
      </c>
      <c r="D93" s="449"/>
      <c r="E93" s="449"/>
      <c r="F93" s="449"/>
      <c r="G93" s="419"/>
      <c r="H93" s="453">
        <v>1500000</v>
      </c>
      <c r="I93" s="453">
        <v>20000</v>
      </c>
      <c r="J93" s="450"/>
      <c r="K93" s="448">
        <f t="shared" si="8"/>
        <v>1520000</v>
      </c>
      <c r="L93" s="448">
        <f t="shared" si="7"/>
        <v>1520000</v>
      </c>
    </row>
    <row r="94" spans="1:12" s="406" customFormat="1" ht="43.5">
      <c r="A94" s="425">
        <v>426900</v>
      </c>
      <c r="B94" s="455" t="s">
        <v>433</v>
      </c>
      <c r="C94" s="447">
        <f t="shared" si="6"/>
        <v>0</v>
      </c>
      <c r="D94" s="456"/>
      <c r="E94" s="456"/>
      <c r="F94" s="456"/>
      <c r="G94" s="419"/>
      <c r="H94" s="453">
        <v>1400000</v>
      </c>
      <c r="I94" s="453">
        <v>620000</v>
      </c>
      <c r="J94" s="450"/>
      <c r="K94" s="448">
        <f t="shared" si="8"/>
        <v>2020000</v>
      </c>
      <c r="L94" s="448">
        <f t="shared" si="7"/>
        <v>2020000</v>
      </c>
    </row>
    <row r="95" spans="1:12" s="404" customFormat="1" ht="15">
      <c r="A95" s="420">
        <v>430000</v>
      </c>
      <c r="B95" s="446" t="s">
        <v>368</v>
      </c>
      <c r="C95" s="447">
        <f t="shared" si="6"/>
        <v>1000000</v>
      </c>
      <c r="D95" s="447"/>
      <c r="E95" s="447"/>
      <c r="F95" s="447">
        <v>1000000</v>
      </c>
      <c r="G95" s="418"/>
      <c r="H95" s="448"/>
      <c r="I95" s="448"/>
      <c r="J95" s="450"/>
      <c r="K95" s="448">
        <f t="shared" si="8"/>
        <v>0</v>
      </c>
      <c r="L95" s="448">
        <f t="shared" si="7"/>
        <v>-1000000</v>
      </c>
    </row>
    <row r="96" spans="1:12" s="404" customFormat="1" ht="30">
      <c r="A96" s="420">
        <v>440000</v>
      </c>
      <c r="B96" s="451" t="s">
        <v>369</v>
      </c>
      <c r="C96" s="447">
        <f t="shared" si="6"/>
        <v>20000</v>
      </c>
      <c r="D96" s="452"/>
      <c r="E96" s="452"/>
      <c r="F96" s="452">
        <v>20000</v>
      </c>
      <c r="G96" s="418"/>
      <c r="H96" s="448">
        <f>H97</f>
        <v>0</v>
      </c>
      <c r="I96" s="448">
        <f>I97</f>
        <v>5000</v>
      </c>
      <c r="J96" s="450"/>
      <c r="K96" s="448">
        <f t="shared" si="8"/>
        <v>5000</v>
      </c>
      <c r="L96" s="448">
        <f t="shared" si="7"/>
        <v>-15000</v>
      </c>
    </row>
    <row r="97" spans="1:12" s="406" customFormat="1" ht="15">
      <c r="A97" s="425">
        <v>444200</v>
      </c>
      <c r="B97" s="455" t="s">
        <v>396</v>
      </c>
      <c r="C97" s="447">
        <f t="shared" si="6"/>
        <v>0</v>
      </c>
      <c r="D97" s="456"/>
      <c r="E97" s="456"/>
      <c r="F97" s="456"/>
      <c r="G97" s="419"/>
      <c r="H97" s="453"/>
      <c r="I97" s="419">
        <v>5000</v>
      </c>
      <c r="J97" s="450"/>
      <c r="K97" s="448">
        <f t="shared" si="8"/>
        <v>5000</v>
      </c>
      <c r="L97" s="448">
        <f t="shared" si="7"/>
        <v>5000</v>
      </c>
    </row>
    <row r="98" spans="1:12" s="404" customFormat="1" ht="15">
      <c r="A98" s="420">
        <v>480000</v>
      </c>
      <c r="B98" s="451" t="s">
        <v>370</v>
      </c>
      <c r="C98" s="447">
        <f t="shared" si="6"/>
        <v>840000</v>
      </c>
      <c r="D98" s="452"/>
      <c r="E98" s="452">
        <v>180000</v>
      </c>
      <c r="F98" s="452">
        <v>660000</v>
      </c>
      <c r="G98" s="418">
        <f>G99+G100+G101+G102+G103</f>
        <v>0</v>
      </c>
      <c r="H98" s="448">
        <f>H99+H100+H101+H102+H103</f>
        <v>180000</v>
      </c>
      <c r="I98" s="448">
        <f>I99+I100+I101+I102+I103</f>
        <v>1075000</v>
      </c>
      <c r="J98" s="450"/>
      <c r="K98" s="448">
        <f t="shared" si="8"/>
        <v>1255000</v>
      </c>
      <c r="L98" s="448">
        <f t="shared" si="7"/>
        <v>415000</v>
      </c>
    </row>
    <row r="99" spans="1:12" s="406" customFormat="1" ht="15">
      <c r="A99" s="425">
        <v>482100</v>
      </c>
      <c r="B99" s="454" t="s">
        <v>399</v>
      </c>
      <c r="C99" s="447">
        <f t="shared" si="6"/>
        <v>0</v>
      </c>
      <c r="D99" s="449"/>
      <c r="E99" s="449"/>
      <c r="F99" s="449"/>
      <c r="G99" s="419"/>
      <c r="H99" s="453">
        <v>180000</v>
      </c>
      <c r="I99" s="419">
        <v>5000</v>
      </c>
      <c r="J99" s="450"/>
      <c r="K99" s="448">
        <f t="shared" si="8"/>
        <v>185000</v>
      </c>
      <c r="L99" s="448">
        <f t="shared" si="7"/>
        <v>185000</v>
      </c>
    </row>
    <row r="100" spans="1:12" s="406" customFormat="1" ht="15">
      <c r="A100" s="425">
        <v>482200</v>
      </c>
      <c r="B100" s="454" t="s">
        <v>400</v>
      </c>
      <c r="C100" s="447">
        <f t="shared" si="6"/>
        <v>0</v>
      </c>
      <c r="D100" s="449"/>
      <c r="E100" s="449"/>
      <c r="F100" s="449"/>
      <c r="G100" s="419"/>
      <c r="H100" s="453"/>
      <c r="I100" s="419">
        <v>850000</v>
      </c>
      <c r="J100" s="450"/>
      <c r="K100" s="448">
        <f t="shared" si="8"/>
        <v>850000</v>
      </c>
      <c r="L100" s="448">
        <f t="shared" si="7"/>
        <v>850000</v>
      </c>
    </row>
    <row r="101" spans="1:12" s="406" customFormat="1" ht="15">
      <c r="A101" s="425">
        <v>482300</v>
      </c>
      <c r="B101" s="454" t="s">
        <v>398</v>
      </c>
      <c r="C101" s="447">
        <f t="shared" si="6"/>
        <v>0</v>
      </c>
      <c r="D101" s="449"/>
      <c r="E101" s="449"/>
      <c r="F101" s="449"/>
      <c r="G101" s="419"/>
      <c r="H101" s="453"/>
      <c r="I101" s="419">
        <v>150000</v>
      </c>
      <c r="J101" s="450"/>
      <c r="K101" s="448">
        <f t="shared" si="8"/>
        <v>150000</v>
      </c>
      <c r="L101" s="448">
        <f t="shared" si="7"/>
        <v>150000</v>
      </c>
    </row>
    <row r="102" spans="1:12" s="406" customFormat="1" ht="15">
      <c r="A102" s="425">
        <v>483100</v>
      </c>
      <c r="B102" s="454" t="s">
        <v>397</v>
      </c>
      <c r="C102" s="447">
        <f t="shared" si="6"/>
        <v>0</v>
      </c>
      <c r="D102" s="449"/>
      <c r="E102" s="449"/>
      <c r="F102" s="449"/>
      <c r="G102" s="419"/>
      <c r="H102" s="453"/>
      <c r="I102" s="419">
        <v>70000</v>
      </c>
      <c r="J102" s="450"/>
      <c r="K102" s="448">
        <f t="shared" si="8"/>
        <v>70000</v>
      </c>
      <c r="L102" s="448">
        <f t="shared" si="7"/>
        <v>70000</v>
      </c>
    </row>
    <row r="103" spans="1:12" s="406" customFormat="1" ht="15">
      <c r="A103" s="425">
        <v>485100</v>
      </c>
      <c r="B103" s="454" t="s">
        <v>403</v>
      </c>
      <c r="C103" s="447">
        <f t="shared" si="6"/>
        <v>0</v>
      </c>
      <c r="D103" s="449"/>
      <c r="E103" s="449"/>
      <c r="F103" s="449"/>
      <c r="G103" s="419"/>
      <c r="H103" s="453"/>
      <c r="I103" s="419"/>
      <c r="J103" s="450"/>
      <c r="K103" s="448">
        <f t="shared" si="8"/>
        <v>0</v>
      </c>
      <c r="L103" s="448">
        <f t="shared" si="7"/>
        <v>0</v>
      </c>
    </row>
    <row r="104" spans="1:12" s="406" customFormat="1" ht="15">
      <c r="A104" s="420"/>
      <c r="B104" s="446" t="s">
        <v>408</v>
      </c>
      <c r="C104" s="447">
        <f t="shared" si="6"/>
        <v>572299400</v>
      </c>
      <c r="D104" s="458">
        <f>D48+D51+D52+D56+D58+D66+D57+D67+D75+D79+D82+D95+D96+D98</f>
        <v>7350000</v>
      </c>
      <c r="E104" s="458">
        <f>E48+E51+E52+E56+E58+E66+E57+E67+E75+E79+E82+E95+E96+E98</f>
        <v>517164000</v>
      </c>
      <c r="F104" s="458">
        <f>F48+F51+F52+F56+F58+F66+F57+F67+F75+F79+F82+F95+F96+F98</f>
        <v>47785400</v>
      </c>
      <c r="G104" s="448">
        <f>G48+G51+G52+G56+G57+G58+G66+G67+G75+G79+G82+G95+G96+G98</f>
        <v>8278200</v>
      </c>
      <c r="H104" s="448">
        <f>H48+H51+H52+H56+H57+H58+H66+H67+H75+H79+H82+H95+H96+H98</f>
        <v>523526000</v>
      </c>
      <c r="I104" s="448">
        <f>I48+I51+I52+I56+I57+I58+I66+I67+I75+I79+I82+I95+I96+I98</f>
        <v>39995000</v>
      </c>
      <c r="J104" s="448">
        <f>J48+J51+J52+J56+J57+J58+J66+J67+J75+J79+J82+J95+J96+J98</f>
        <v>0</v>
      </c>
      <c r="K104" s="448">
        <f t="shared" si="8"/>
        <v>571799200</v>
      </c>
      <c r="L104" s="448">
        <f t="shared" si="7"/>
        <v>-500200</v>
      </c>
    </row>
    <row r="105" spans="1:12" s="406" customFormat="1" ht="15">
      <c r="A105" s="439"/>
      <c r="B105" s="459"/>
      <c r="C105" s="460"/>
      <c r="D105" s="460"/>
      <c r="E105" s="460"/>
      <c r="F105" s="460"/>
      <c r="G105" s="461"/>
      <c r="H105" s="461"/>
      <c r="I105" s="461"/>
      <c r="J105" s="461"/>
      <c r="K105" s="461"/>
      <c r="L105" s="461"/>
    </row>
    <row r="106" spans="1:29" s="406" customFormat="1" ht="15">
      <c r="A106" s="404" t="s">
        <v>434</v>
      </c>
      <c r="B106" s="404"/>
      <c r="C106" s="405"/>
      <c r="D106" s="405"/>
      <c r="E106" s="405"/>
      <c r="F106" s="405"/>
      <c r="G106" s="407"/>
      <c r="H106" s="407"/>
      <c r="I106" s="407"/>
      <c r="J106" s="407"/>
      <c r="K106" s="407"/>
      <c r="L106" s="407"/>
      <c r="M106" s="407"/>
      <c r="P106" s="407"/>
      <c r="Q106" s="462"/>
      <c r="R106" s="407"/>
      <c r="S106" s="462"/>
      <c r="T106" s="407"/>
      <c r="U106" s="407"/>
      <c r="V106" s="407"/>
      <c r="W106" s="462"/>
      <c r="X106" s="407"/>
      <c r="Y106" s="462" t="e">
        <f>#REF!-#REF!</f>
        <v>#REF!</v>
      </c>
      <c r="Z106" s="407"/>
      <c r="AA106" s="407"/>
      <c r="AC106" s="407"/>
    </row>
    <row r="107" spans="1:29" s="406" customFormat="1" ht="15">
      <c r="A107" s="404"/>
      <c r="B107" s="404"/>
      <c r="C107" s="405"/>
      <c r="D107" s="405"/>
      <c r="E107" s="405"/>
      <c r="F107" s="405"/>
      <c r="G107" s="407"/>
      <c r="H107" s="407"/>
      <c r="I107" s="407"/>
      <c r="J107" s="407"/>
      <c r="K107" s="407"/>
      <c r="L107" s="407"/>
      <c r="M107" s="407"/>
      <c r="P107" s="407"/>
      <c r="Q107" s="462"/>
      <c r="R107" s="407"/>
      <c r="S107" s="462"/>
      <c r="T107" s="407"/>
      <c r="U107" s="407"/>
      <c r="V107" s="407"/>
      <c r="W107" s="462"/>
      <c r="X107" s="407"/>
      <c r="Y107" s="462"/>
      <c r="Z107" s="407"/>
      <c r="AA107" s="407"/>
      <c r="AC107" s="407"/>
    </row>
    <row r="108" spans="1:39" s="406" customFormat="1" ht="15">
      <c r="A108" s="404"/>
      <c r="B108" s="404"/>
      <c r="C108" s="405"/>
      <c r="D108" s="405"/>
      <c r="E108" s="405"/>
      <c r="F108" s="405"/>
      <c r="G108" s="407"/>
      <c r="H108" s="407"/>
      <c r="I108" s="407"/>
      <c r="J108" s="407"/>
      <c r="K108" s="409"/>
      <c r="L108" s="409"/>
      <c r="M108" s="409"/>
      <c r="N108" s="409"/>
      <c r="O108" s="409"/>
      <c r="P108" s="408"/>
      <c r="Q108" s="408"/>
      <c r="R108" s="408"/>
      <c r="S108" s="408"/>
      <c r="T108" s="408"/>
      <c r="U108" s="408"/>
      <c r="V108" s="408"/>
      <c r="W108" s="408"/>
      <c r="X108" s="408"/>
      <c r="Y108" s="409"/>
      <c r="Z108" s="409"/>
      <c r="AA108" s="409"/>
      <c r="AB108" s="409"/>
      <c r="AC108" s="408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7"/>
    </row>
    <row r="109" spans="1:42" s="406" customFormat="1" ht="15">
      <c r="A109" s="420"/>
      <c r="B109" s="446"/>
      <c r="C109" s="463"/>
      <c r="D109" s="463"/>
      <c r="E109" s="463"/>
      <c r="F109" s="463"/>
      <c r="G109" s="471" t="s">
        <v>435</v>
      </c>
      <c r="H109" s="472"/>
      <c r="I109" s="472"/>
      <c r="J109" s="473"/>
      <c r="K109" s="409"/>
      <c r="L109" s="409"/>
      <c r="M109" s="409"/>
      <c r="N109" s="409"/>
      <c r="O109" s="409"/>
      <c r="P109" s="408"/>
      <c r="Q109" s="408"/>
      <c r="R109" s="408"/>
      <c r="S109" s="408"/>
      <c r="T109" s="408"/>
      <c r="U109" s="408"/>
      <c r="V109" s="408"/>
      <c r="W109" s="408"/>
      <c r="X109" s="409"/>
      <c r="Y109" s="409"/>
      <c r="Z109" s="409"/>
      <c r="AA109" s="409"/>
      <c r="AB109" s="408"/>
      <c r="AC109" s="408"/>
      <c r="AD109" s="409"/>
      <c r="AE109" s="409"/>
      <c r="AF109" s="409"/>
      <c r="AG109" s="409"/>
      <c r="AH109" s="409"/>
      <c r="AI109" s="408"/>
      <c r="AJ109" s="409"/>
      <c r="AK109" s="409"/>
      <c r="AL109" s="409"/>
      <c r="AP109" s="407"/>
    </row>
    <row r="110" spans="1:39" s="406" customFormat="1" ht="77.25" customHeight="1">
      <c r="A110" s="427" t="s">
        <v>411</v>
      </c>
      <c r="B110" s="427" t="s">
        <v>357</v>
      </c>
      <c r="C110" s="411" t="s">
        <v>471</v>
      </c>
      <c r="D110" s="411" t="s">
        <v>472</v>
      </c>
      <c r="E110" s="411" t="s">
        <v>473</v>
      </c>
      <c r="F110" s="464"/>
      <c r="G110" s="427" t="s">
        <v>404</v>
      </c>
      <c r="H110" s="465" t="s">
        <v>392</v>
      </c>
      <c r="I110" s="457" t="s">
        <v>355</v>
      </c>
      <c r="J110" s="418" t="s">
        <v>437</v>
      </c>
      <c r="K110" s="413" t="s">
        <v>436</v>
      </c>
      <c r="M110" s="409"/>
      <c r="N110" s="409"/>
      <c r="O110" s="409"/>
      <c r="P110" s="409"/>
      <c r="Q110" s="408"/>
      <c r="R110" s="408"/>
      <c r="S110" s="408"/>
      <c r="T110" s="408"/>
      <c r="U110" s="408"/>
      <c r="V110" s="408"/>
      <c r="W110" s="408"/>
      <c r="X110" s="408"/>
      <c r="Y110" s="409"/>
      <c r="Z110" s="409"/>
      <c r="AA110" s="409"/>
      <c r="AB110" s="408" t="e">
        <f>#REF!+#REF!</f>
        <v>#REF!</v>
      </c>
      <c r="AC110" s="409"/>
      <c r="AD110" s="408"/>
      <c r="AE110" s="409"/>
      <c r="AF110" s="408"/>
      <c r="AG110" s="409"/>
      <c r="AH110" s="409"/>
      <c r="AI110" s="409"/>
      <c r="AJ110" s="408"/>
      <c r="AK110" s="409"/>
      <c r="AL110" s="409"/>
      <c r="AM110" s="409"/>
    </row>
    <row r="111" spans="1:39" s="404" customFormat="1" ht="15">
      <c r="A111" s="420">
        <v>512000</v>
      </c>
      <c r="B111" s="466" t="s">
        <v>371</v>
      </c>
      <c r="C111" s="429">
        <f>D111+E111</f>
        <v>74504600</v>
      </c>
      <c r="D111" s="421">
        <f>D112+D125</f>
        <v>66330000</v>
      </c>
      <c r="E111" s="421">
        <f>E112+E125+E115</f>
        <v>8174600</v>
      </c>
      <c r="F111" s="421"/>
      <c r="G111" s="418">
        <f>G112+G115+G125</f>
        <v>9435000</v>
      </c>
      <c r="H111" s="418">
        <f>H112+H115+H125+H143</f>
        <v>13155000</v>
      </c>
      <c r="I111" s="418"/>
      <c r="J111" s="418">
        <f>G111+H111</f>
        <v>22590000</v>
      </c>
      <c r="K111" s="448">
        <f>J111-C111</f>
        <v>-51914600</v>
      </c>
      <c r="L111" s="409"/>
      <c r="M111" s="409"/>
      <c r="N111" s="409"/>
      <c r="O111" s="409"/>
      <c r="P111" s="409"/>
      <c r="Q111" s="408"/>
      <c r="R111" s="408"/>
      <c r="S111" s="408"/>
      <c r="T111" s="408"/>
      <c r="U111" s="408"/>
      <c r="V111" s="408"/>
      <c r="W111" s="408"/>
      <c r="X111" s="408"/>
      <c r="Y111" s="409"/>
      <c r="Z111" s="409"/>
      <c r="AA111" s="409"/>
      <c r="AB111" s="409"/>
      <c r="AC111" s="409"/>
      <c r="AD111" s="408"/>
      <c r="AE111" s="409"/>
      <c r="AF111" s="409"/>
      <c r="AG111" s="409"/>
      <c r="AH111" s="409"/>
      <c r="AI111" s="408"/>
      <c r="AJ111" s="409"/>
      <c r="AK111" s="409"/>
      <c r="AL111" s="409"/>
      <c r="AM111" s="409"/>
    </row>
    <row r="112" spans="1:39" s="406" customFormat="1" ht="15">
      <c r="A112" s="420">
        <v>512100</v>
      </c>
      <c r="B112" s="427" t="s">
        <v>467</v>
      </c>
      <c r="C112" s="429">
        <f>D112+E112</f>
        <v>12768000</v>
      </c>
      <c r="D112" s="429">
        <f>D113+D114</f>
        <v>10800000</v>
      </c>
      <c r="E112" s="429">
        <f>E113+E114</f>
        <v>1968000</v>
      </c>
      <c r="F112" s="429"/>
      <c r="G112" s="418"/>
      <c r="H112" s="418">
        <f>H113+H114</f>
        <v>6180000</v>
      </c>
      <c r="I112" s="418"/>
      <c r="J112" s="418">
        <f aca="true" t="shared" si="9" ref="J112:J144">G112+H112</f>
        <v>6180000</v>
      </c>
      <c r="K112" s="448">
        <f aca="true" t="shared" si="10" ref="K112:K144">J112-C112</f>
        <v>-6588000</v>
      </c>
      <c r="L112" s="409"/>
      <c r="M112" s="409"/>
      <c r="N112" s="409"/>
      <c r="O112" s="409"/>
      <c r="P112" s="409"/>
      <c r="Q112" s="408"/>
      <c r="R112" s="408"/>
      <c r="S112" s="408"/>
      <c r="T112" s="408"/>
      <c r="U112" s="408"/>
      <c r="V112" s="408"/>
      <c r="W112" s="408"/>
      <c r="X112" s="408"/>
      <c r="Y112" s="409"/>
      <c r="Z112" s="409"/>
      <c r="AA112" s="409"/>
      <c r="AB112" s="409"/>
      <c r="AC112" s="408"/>
      <c r="AD112" s="408"/>
      <c r="AE112" s="409"/>
      <c r="AF112" s="409"/>
      <c r="AG112" s="409"/>
      <c r="AH112" s="409"/>
      <c r="AI112" s="409"/>
      <c r="AJ112" s="409"/>
      <c r="AK112" s="409"/>
      <c r="AL112" s="409"/>
      <c r="AM112" s="409"/>
    </row>
    <row r="113" spans="1:39" s="406" customFormat="1" ht="29.25">
      <c r="A113" s="425">
        <v>512100</v>
      </c>
      <c r="B113" s="431" t="s">
        <v>469</v>
      </c>
      <c r="C113" s="429">
        <f>D113+E113</f>
        <v>10800000</v>
      </c>
      <c r="D113" s="432">
        <v>10800000</v>
      </c>
      <c r="E113" s="432"/>
      <c r="F113" s="432"/>
      <c r="G113" s="419"/>
      <c r="H113" s="419">
        <v>3480000</v>
      </c>
      <c r="I113" s="419"/>
      <c r="J113" s="418">
        <f t="shared" si="9"/>
        <v>3480000</v>
      </c>
      <c r="K113" s="448">
        <f t="shared" si="10"/>
        <v>-7320000</v>
      </c>
      <c r="L113" s="409"/>
      <c r="M113" s="409"/>
      <c r="N113" s="409"/>
      <c r="O113" s="409"/>
      <c r="P113" s="409"/>
      <c r="Q113" s="408"/>
      <c r="R113" s="408"/>
      <c r="S113" s="408"/>
      <c r="T113" s="408"/>
      <c r="U113" s="408"/>
      <c r="V113" s="408"/>
      <c r="W113" s="408"/>
      <c r="X113" s="408"/>
      <c r="Y113" s="409"/>
      <c r="Z113" s="409"/>
      <c r="AA113" s="409"/>
      <c r="AB113" s="409"/>
      <c r="AC113" s="409"/>
      <c r="AD113" s="408"/>
      <c r="AE113" s="409"/>
      <c r="AF113" s="409"/>
      <c r="AG113" s="409"/>
      <c r="AH113" s="409"/>
      <c r="AI113" s="409"/>
      <c r="AJ113" s="409"/>
      <c r="AK113" s="409"/>
      <c r="AL113" s="409"/>
      <c r="AM113" s="409"/>
    </row>
    <row r="114" spans="1:39" s="406" customFormat="1" ht="15">
      <c r="A114" s="425">
        <v>512100</v>
      </c>
      <c r="B114" s="431" t="s">
        <v>459</v>
      </c>
      <c r="C114" s="429">
        <f>D114+E114</f>
        <v>1968000</v>
      </c>
      <c r="D114" s="432"/>
      <c r="E114" s="432">
        <v>1968000</v>
      </c>
      <c r="F114" s="432"/>
      <c r="G114" s="419"/>
      <c r="H114" s="419">
        <v>2700000</v>
      </c>
      <c r="I114" s="419"/>
      <c r="J114" s="418">
        <f t="shared" si="9"/>
        <v>2700000</v>
      </c>
      <c r="K114" s="448">
        <f t="shared" si="10"/>
        <v>732000</v>
      </c>
      <c r="L114" s="409"/>
      <c r="M114" s="409"/>
      <c r="N114" s="409"/>
      <c r="O114" s="409"/>
      <c r="P114" s="409"/>
      <c r="Q114" s="408"/>
      <c r="R114" s="408"/>
      <c r="S114" s="408"/>
      <c r="T114" s="408"/>
      <c r="U114" s="408"/>
      <c r="V114" s="408"/>
      <c r="W114" s="408"/>
      <c r="X114" s="408"/>
      <c r="Y114" s="409"/>
      <c r="Z114" s="409"/>
      <c r="AA114" s="409"/>
      <c r="AB114" s="409"/>
      <c r="AC114" s="409"/>
      <c r="AD114" s="408"/>
      <c r="AE114" s="409"/>
      <c r="AF114" s="409"/>
      <c r="AG114" s="409"/>
      <c r="AH114" s="409"/>
      <c r="AI114" s="409"/>
      <c r="AJ114" s="409"/>
      <c r="AK114" s="409"/>
      <c r="AL114" s="409"/>
      <c r="AM114" s="409"/>
    </row>
    <row r="115" spans="1:39" s="406" customFormat="1" ht="15">
      <c r="A115" s="420">
        <v>512000</v>
      </c>
      <c r="B115" s="427" t="s">
        <v>123</v>
      </c>
      <c r="C115" s="429">
        <f>D115+E115</f>
        <v>3000000</v>
      </c>
      <c r="D115" s="429"/>
      <c r="E115" s="429">
        <v>3000000</v>
      </c>
      <c r="F115" s="429"/>
      <c r="G115" s="419"/>
      <c r="H115" s="418">
        <f>H116+H117+H118+H119+H120+H121+H122</f>
        <v>4500000</v>
      </c>
      <c r="I115" s="418"/>
      <c r="J115" s="418">
        <f t="shared" si="9"/>
        <v>4500000</v>
      </c>
      <c r="K115" s="448">
        <f t="shared" si="10"/>
        <v>1500000</v>
      </c>
      <c r="L115" s="409"/>
      <c r="M115" s="409"/>
      <c r="N115" s="409"/>
      <c r="O115" s="409"/>
      <c r="P115" s="409"/>
      <c r="Q115" s="408"/>
      <c r="R115" s="408"/>
      <c r="S115" s="408"/>
      <c r="T115" s="408"/>
      <c r="U115" s="408"/>
      <c r="V115" s="408"/>
      <c r="W115" s="408"/>
      <c r="X115" s="408"/>
      <c r="Y115" s="409"/>
      <c r="Z115" s="409"/>
      <c r="AA115" s="409"/>
      <c r="AB115" s="409"/>
      <c r="AC115" s="409"/>
      <c r="AD115" s="408"/>
      <c r="AE115" s="409"/>
      <c r="AF115" s="409"/>
      <c r="AG115" s="409"/>
      <c r="AH115" s="409"/>
      <c r="AI115" s="409"/>
      <c r="AJ115" s="409"/>
      <c r="AK115" s="409"/>
      <c r="AL115" s="409"/>
      <c r="AM115" s="409"/>
    </row>
    <row r="116" spans="1:39" s="406" customFormat="1" ht="29.25">
      <c r="A116" s="425">
        <v>512211</v>
      </c>
      <c r="B116" s="431" t="s">
        <v>460</v>
      </c>
      <c r="C116" s="432"/>
      <c r="D116" s="432"/>
      <c r="E116" s="432"/>
      <c r="F116" s="432"/>
      <c r="G116" s="419"/>
      <c r="H116" s="418">
        <v>600000</v>
      </c>
      <c r="I116" s="418"/>
      <c r="J116" s="418">
        <f t="shared" si="9"/>
        <v>600000</v>
      </c>
      <c r="K116" s="448">
        <f t="shared" si="10"/>
        <v>600000</v>
      </c>
      <c r="L116" s="409"/>
      <c r="M116" s="409"/>
      <c r="N116" s="409"/>
      <c r="O116" s="409"/>
      <c r="P116" s="409"/>
      <c r="Q116" s="408"/>
      <c r="R116" s="408"/>
      <c r="S116" s="408"/>
      <c r="T116" s="408"/>
      <c r="U116" s="408"/>
      <c r="V116" s="408"/>
      <c r="W116" s="408"/>
      <c r="X116" s="408"/>
      <c r="Y116" s="409"/>
      <c r="Z116" s="409"/>
      <c r="AA116" s="409"/>
      <c r="AB116" s="409"/>
      <c r="AC116" s="409"/>
      <c r="AD116" s="408"/>
      <c r="AE116" s="409"/>
      <c r="AF116" s="409"/>
      <c r="AG116" s="409"/>
      <c r="AH116" s="409"/>
      <c r="AI116" s="409"/>
      <c r="AJ116" s="409"/>
      <c r="AK116" s="409"/>
      <c r="AL116" s="409"/>
      <c r="AM116" s="409"/>
    </row>
    <row r="117" spans="1:39" s="406" customFormat="1" ht="15">
      <c r="A117" s="425">
        <v>512211</v>
      </c>
      <c r="B117" s="425" t="s">
        <v>461</v>
      </c>
      <c r="C117" s="426"/>
      <c r="D117" s="426"/>
      <c r="E117" s="426"/>
      <c r="F117" s="426"/>
      <c r="G117" s="425"/>
      <c r="H117" s="418">
        <v>600000</v>
      </c>
      <c r="I117" s="418"/>
      <c r="J117" s="418">
        <f t="shared" si="9"/>
        <v>600000</v>
      </c>
      <c r="K117" s="448">
        <f t="shared" si="10"/>
        <v>600000</v>
      </c>
      <c r="L117" s="409"/>
      <c r="M117" s="409"/>
      <c r="N117" s="409"/>
      <c r="O117" s="409"/>
      <c r="P117" s="409"/>
      <c r="Q117" s="408"/>
      <c r="R117" s="408"/>
      <c r="S117" s="408"/>
      <c r="T117" s="408"/>
      <c r="U117" s="408"/>
      <c r="V117" s="408"/>
      <c r="W117" s="408"/>
      <c r="X117" s="408"/>
      <c r="Y117" s="409"/>
      <c r="Z117" s="409"/>
      <c r="AA117" s="409"/>
      <c r="AB117" s="409"/>
      <c r="AC117" s="409"/>
      <c r="AD117" s="408"/>
      <c r="AE117" s="409"/>
      <c r="AF117" s="409"/>
      <c r="AG117" s="409"/>
      <c r="AH117" s="409"/>
      <c r="AI117" s="409"/>
      <c r="AJ117" s="409"/>
      <c r="AK117" s="409"/>
      <c r="AL117" s="409"/>
      <c r="AM117" s="409"/>
    </row>
    <row r="118" spans="1:39" s="406" customFormat="1" ht="15">
      <c r="A118" s="425">
        <v>512212</v>
      </c>
      <c r="B118" s="431" t="s">
        <v>466</v>
      </c>
      <c r="C118" s="432"/>
      <c r="D118" s="432"/>
      <c r="E118" s="432"/>
      <c r="F118" s="432"/>
      <c r="G118" s="419"/>
      <c r="H118" s="418">
        <v>150000</v>
      </c>
      <c r="I118" s="418"/>
      <c r="J118" s="418">
        <f t="shared" si="9"/>
        <v>150000</v>
      </c>
      <c r="K118" s="448">
        <f t="shared" si="10"/>
        <v>150000</v>
      </c>
      <c r="L118" s="409"/>
      <c r="M118" s="409"/>
      <c r="N118" s="409"/>
      <c r="O118" s="409"/>
      <c r="P118" s="409"/>
      <c r="Q118" s="408"/>
      <c r="R118" s="408"/>
      <c r="S118" s="408"/>
      <c r="T118" s="408"/>
      <c r="U118" s="408"/>
      <c r="V118" s="408"/>
      <c r="W118" s="408"/>
      <c r="X118" s="408"/>
      <c r="Y118" s="409"/>
      <c r="Z118" s="409"/>
      <c r="AA118" s="409"/>
      <c r="AB118" s="409"/>
      <c r="AC118" s="409"/>
      <c r="AD118" s="408"/>
      <c r="AE118" s="409"/>
      <c r="AF118" s="409"/>
      <c r="AG118" s="409"/>
      <c r="AH118" s="409"/>
      <c r="AI118" s="409"/>
      <c r="AJ118" s="409"/>
      <c r="AK118" s="409"/>
      <c r="AL118" s="409"/>
      <c r="AM118" s="409"/>
    </row>
    <row r="119" spans="1:39" s="406" customFormat="1" ht="15">
      <c r="A119" s="425">
        <v>512220</v>
      </c>
      <c r="B119" s="431" t="s">
        <v>462</v>
      </c>
      <c r="C119" s="432"/>
      <c r="D119" s="432"/>
      <c r="E119" s="432"/>
      <c r="F119" s="432"/>
      <c r="G119" s="419"/>
      <c r="H119" s="418">
        <v>2200000</v>
      </c>
      <c r="I119" s="418"/>
      <c r="J119" s="418">
        <f t="shared" si="9"/>
        <v>2200000</v>
      </c>
      <c r="K119" s="448">
        <f t="shared" si="10"/>
        <v>2200000</v>
      </c>
      <c r="L119" s="409"/>
      <c r="M119" s="409"/>
      <c r="N119" s="409"/>
      <c r="O119" s="409"/>
      <c r="P119" s="409"/>
      <c r="Q119" s="408"/>
      <c r="R119" s="408"/>
      <c r="S119" s="408"/>
      <c r="T119" s="408"/>
      <c r="U119" s="408"/>
      <c r="V119" s="408"/>
      <c r="W119" s="408"/>
      <c r="X119" s="408"/>
      <c r="Y119" s="409"/>
      <c r="Z119" s="409"/>
      <c r="AA119" s="409"/>
      <c r="AB119" s="409"/>
      <c r="AC119" s="409"/>
      <c r="AD119" s="408"/>
      <c r="AE119" s="409"/>
      <c r="AF119" s="409"/>
      <c r="AG119" s="409"/>
      <c r="AH119" s="409"/>
      <c r="AI119" s="409"/>
      <c r="AJ119" s="409"/>
      <c r="AK119" s="409"/>
      <c r="AL119" s="409"/>
      <c r="AM119" s="409"/>
    </row>
    <row r="120" spans="1:39" s="406" customFormat="1" ht="15">
      <c r="A120" s="425">
        <v>512230</v>
      </c>
      <c r="B120" s="431" t="s">
        <v>465</v>
      </c>
      <c r="C120" s="432"/>
      <c r="D120" s="432"/>
      <c r="E120" s="432"/>
      <c r="F120" s="432"/>
      <c r="G120" s="419"/>
      <c r="H120" s="418">
        <v>200000</v>
      </c>
      <c r="I120" s="418"/>
      <c r="J120" s="418">
        <f t="shared" si="9"/>
        <v>200000</v>
      </c>
      <c r="K120" s="448">
        <f t="shared" si="10"/>
        <v>200000</v>
      </c>
      <c r="L120" s="409"/>
      <c r="M120" s="409"/>
      <c r="N120" s="409"/>
      <c r="O120" s="409"/>
      <c r="P120" s="409"/>
      <c r="Q120" s="408"/>
      <c r="R120" s="408"/>
      <c r="S120" s="408"/>
      <c r="T120" s="408"/>
      <c r="U120" s="408"/>
      <c r="V120" s="408"/>
      <c r="W120" s="408"/>
      <c r="X120" s="408"/>
      <c r="Y120" s="409"/>
      <c r="Z120" s="409"/>
      <c r="AA120" s="409"/>
      <c r="AB120" s="409"/>
      <c r="AC120" s="409"/>
      <c r="AD120" s="408"/>
      <c r="AE120" s="409"/>
      <c r="AF120" s="409"/>
      <c r="AG120" s="409"/>
      <c r="AH120" s="409"/>
      <c r="AI120" s="409"/>
      <c r="AJ120" s="409"/>
      <c r="AK120" s="409"/>
      <c r="AL120" s="409"/>
      <c r="AM120" s="409"/>
    </row>
    <row r="121" spans="1:39" s="406" customFormat="1" ht="15">
      <c r="A121" s="425">
        <v>512251</v>
      </c>
      <c r="B121" s="431" t="s">
        <v>463</v>
      </c>
      <c r="C121" s="432"/>
      <c r="D121" s="432"/>
      <c r="E121" s="432"/>
      <c r="F121" s="432"/>
      <c r="G121" s="419"/>
      <c r="H121" s="418">
        <v>150000</v>
      </c>
      <c r="I121" s="418"/>
      <c r="J121" s="418">
        <f t="shared" si="9"/>
        <v>150000</v>
      </c>
      <c r="K121" s="448">
        <f t="shared" si="10"/>
        <v>150000</v>
      </c>
      <c r="L121" s="409"/>
      <c r="M121" s="409"/>
      <c r="N121" s="409"/>
      <c r="O121" s="409"/>
      <c r="P121" s="409"/>
      <c r="Q121" s="408"/>
      <c r="R121" s="408"/>
      <c r="S121" s="408"/>
      <c r="T121" s="408"/>
      <c r="U121" s="408"/>
      <c r="V121" s="408"/>
      <c r="W121" s="408"/>
      <c r="X121" s="408"/>
      <c r="Y121" s="409"/>
      <c r="Z121" s="409"/>
      <c r="AA121" s="409"/>
      <c r="AB121" s="409"/>
      <c r="AC121" s="409"/>
      <c r="AD121" s="408"/>
      <c r="AE121" s="409"/>
      <c r="AF121" s="409"/>
      <c r="AG121" s="409"/>
      <c r="AH121" s="409"/>
      <c r="AI121" s="409"/>
      <c r="AJ121" s="409"/>
      <c r="AK121" s="409"/>
      <c r="AL121" s="409"/>
      <c r="AM121" s="409"/>
    </row>
    <row r="122" spans="1:39" s="406" customFormat="1" ht="15">
      <c r="A122" s="425">
        <v>512252</v>
      </c>
      <c r="B122" s="431" t="s">
        <v>464</v>
      </c>
      <c r="C122" s="432"/>
      <c r="D122" s="432"/>
      <c r="E122" s="432"/>
      <c r="F122" s="432"/>
      <c r="G122" s="419"/>
      <c r="H122" s="418">
        <v>600000</v>
      </c>
      <c r="I122" s="418"/>
      <c r="J122" s="418">
        <f t="shared" si="9"/>
        <v>600000</v>
      </c>
      <c r="K122" s="448">
        <f t="shared" si="10"/>
        <v>600000</v>
      </c>
      <c r="L122" s="409"/>
      <c r="M122" s="409"/>
      <c r="N122" s="409"/>
      <c r="O122" s="409"/>
      <c r="P122" s="409"/>
      <c r="Q122" s="408"/>
      <c r="R122" s="408"/>
      <c r="S122" s="408"/>
      <c r="T122" s="408"/>
      <c r="U122" s="408"/>
      <c r="V122" s="408"/>
      <c r="W122" s="408"/>
      <c r="X122" s="408"/>
      <c r="Y122" s="409"/>
      <c r="Z122" s="409"/>
      <c r="AA122" s="409"/>
      <c r="AB122" s="409"/>
      <c r="AC122" s="409"/>
      <c r="AD122" s="408"/>
      <c r="AE122" s="409"/>
      <c r="AF122" s="409"/>
      <c r="AG122" s="409"/>
      <c r="AH122" s="409"/>
      <c r="AI122" s="409"/>
      <c r="AJ122" s="409"/>
      <c r="AK122" s="409"/>
      <c r="AL122" s="409"/>
      <c r="AM122" s="409"/>
    </row>
    <row r="123" spans="1:39" s="406" customFormat="1" ht="15">
      <c r="A123" s="425"/>
      <c r="B123" s="427"/>
      <c r="C123" s="429"/>
      <c r="D123" s="429"/>
      <c r="E123" s="429"/>
      <c r="F123" s="429"/>
      <c r="G123" s="419"/>
      <c r="H123" s="418"/>
      <c r="I123" s="418"/>
      <c r="J123" s="418">
        <f t="shared" si="9"/>
        <v>0</v>
      </c>
      <c r="K123" s="448">
        <f t="shared" si="10"/>
        <v>0</v>
      </c>
      <c r="L123" s="409"/>
      <c r="M123" s="409"/>
      <c r="N123" s="409"/>
      <c r="O123" s="409"/>
      <c r="P123" s="409"/>
      <c r="Q123" s="408"/>
      <c r="R123" s="408"/>
      <c r="S123" s="408"/>
      <c r="T123" s="408"/>
      <c r="U123" s="408"/>
      <c r="V123" s="408"/>
      <c r="W123" s="408"/>
      <c r="X123" s="408"/>
      <c r="Y123" s="409"/>
      <c r="Z123" s="409"/>
      <c r="AA123" s="409"/>
      <c r="AB123" s="409"/>
      <c r="AC123" s="409"/>
      <c r="AD123" s="408"/>
      <c r="AE123" s="409"/>
      <c r="AF123" s="409"/>
      <c r="AG123" s="409"/>
      <c r="AH123" s="409"/>
      <c r="AI123" s="409"/>
      <c r="AJ123" s="409"/>
      <c r="AK123" s="409"/>
      <c r="AL123" s="409"/>
      <c r="AM123" s="409"/>
    </row>
    <row r="124" spans="1:39" s="406" customFormat="1" ht="15">
      <c r="A124" s="425"/>
      <c r="B124" s="427"/>
      <c r="C124" s="429"/>
      <c r="D124" s="429"/>
      <c r="E124" s="429"/>
      <c r="F124" s="429"/>
      <c r="G124" s="419"/>
      <c r="H124" s="418"/>
      <c r="I124" s="418"/>
      <c r="J124" s="418">
        <f t="shared" si="9"/>
        <v>0</v>
      </c>
      <c r="K124" s="448">
        <f t="shared" si="10"/>
        <v>0</v>
      </c>
      <c r="L124" s="409"/>
      <c r="M124" s="409"/>
      <c r="N124" s="409"/>
      <c r="O124" s="409"/>
      <c r="P124" s="409"/>
      <c r="Q124" s="408"/>
      <c r="R124" s="408"/>
      <c r="S124" s="408"/>
      <c r="T124" s="408"/>
      <c r="U124" s="408"/>
      <c r="V124" s="408"/>
      <c r="W124" s="408"/>
      <c r="X124" s="408"/>
      <c r="Y124" s="409"/>
      <c r="Z124" s="409"/>
      <c r="AA124" s="409"/>
      <c r="AB124" s="409"/>
      <c r="AC124" s="409"/>
      <c r="AD124" s="408"/>
      <c r="AE124" s="409"/>
      <c r="AF124" s="409"/>
      <c r="AG124" s="409"/>
      <c r="AH124" s="409"/>
      <c r="AI124" s="409"/>
      <c r="AJ124" s="409"/>
      <c r="AK124" s="409"/>
      <c r="AL124" s="409"/>
      <c r="AM124" s="409"/>
    </row>
    <row r="125" spans="1:39" s="406" customFormat="1" ht="15">
      <c r="A125" s="420">
        <v>512500</v>
      </c>
      <c r="B125" s="467" t="s">
        <v>438</v>
      </c>
      <c r="C125" s="429">
        <f>D125+E125</f>
        <v>58736600</v>
      </c>
      <c r="D125" s="429">
        <f>D126+D127+D128+D129+D130+D131+D132+D133+D134+D135+D136+D137+D138+D139+D140+D141</f>
        <v>55530000</v>
      </c>
      <c r="E125" s="429">
        <f>E126+E127+E128+E129+E130+E131+E132+E133+E134+E135+E136+E137+E138+E139+E140+E141</f>
        <v>3206600</v>
      </c>
      <c r="F125" s="429"/>
      <c r="G125" s="418">
        <f>G127+G128+G129+G130+G131+G132+G133+G134+G135+G136+G137+G138+G139+G140+G141+G142+G143</f>
        <v>9435000</v>
      </c>
      <c r="H125" s="418">
        <f>H127+H128+H129+H130+H131+H132+H133+H134+H135+H136+H137+H138+H139+H140+H141+H142+H143+H126</f>
        <v>2475000</v>
      </c>
      <c r="I125" s="418"/>
      <c r="J125" s="418">
        <f t="shared" si="9"/>
        <v>11910000</v>
      </c>
      <c r="K125" s="448">
        <f t="shared" si="10"/>
        <v>-46826600</v>
      </c>
      <c r="L125" s="409"/>
      <c r="M125" s="409"/>
      <c r="N125" s="409"/>
      <c r="O125" s="409"/>
      <c r="P125" s="409"/>
      <c r="Q125" s="408"/>
      <c r="R125" s="408"/>
      <c r="S125" s="408"/>
      <c r="T125" s="408"/>
      <c r="U125" s="408"/>
      <c r="V125" s="408"/>
      <c r="W125" s="408"/>
      <c r="X125" s="408"/>
      <c r="Y125" s="409"/>
      <c r="Z125" s="409"/>
      <c r="AA125" s="409"/>
      <c r="AB125" s="409"/>
      <c r="AC125" s="409"/>
      <c r="AD125" s="408"/>
      <c r="AE125" s="409"/>
      <c r="AF125" s="409"/>
      <c r="AG125" s="409"/>
      <c r="AH125" s="409"/>
      <c r="AI125" s="409"/>
      <c r="AJ125" s="409"/>
      <c r="AK125" s="409"/>
      <c r="AL125" s="409"/>
      <c r="AM125" s="409"/>
    </row>
    <row r="126" spans="1:39" s="406" customFormat="1" ht="29.25">
      <c r="A126" s="425">
        <v>512511</v>
      </c>
      <c r="B126" s="431" t="s">
        <v>468</v>
      </c>
      <c r="C126" s="432">
        <f aca="true" t="shared" si="11" ref="C126:C143">D126+E126</f>
        <v>0</v>
      </c>
      <c r="D126" s="432"/>
      <c r="E126" s="432"/>
      <c r="F126" s="432"/>
      <c r="G126" s="419"/>
      <c r="H126" s="419">
        <v>600000</v>
      </c>
      <c r="I126" s="418"/>
      <c r="J126" s="418">
        <f t="shared" si="9"/>
        <v>600000</v>
      </c>
      <c r="K126" s="448">
        <f t="shared" si="10"/>
        <v>600000</v>
      </c>
      <c r="L126" s="409"/>
      <c r="M126" s="409"/>
      <c r="N126" s="409"/>
      <c r="O126" s="409"/>
      <c r="P126" s="409"/>
      <c r="Q126" s="408"/>
      <c r="R126" s="408"/>
      <c r="S126" s="408"/>
      <c r="T126" s="408"/>
      <c r="U126" s="408"/>
      <c r="V126" s="408"/>
      <c r="W126" s="408"/>
      <c r="X126" s="408"/>
      <c r="Y126" s="409"/>
      <c r="Z126" s="409"/>
      <c r="AA126" s="409"/>
      <c r="AB126" s="409"/>
      <c r="AC126" s="409"/>
      <c r="AD126" s="408"/>
      <c r="AE126" s="409"/>
      <c r="AF126" s="409"/>
      <c r="AG126" s="409"/>
      <c r="AH126" s="409"/>
      <c r="AI126" s="409"/>
      <c r="AJ126" s="409"/>
      <c r="AK126" s="409"/>
      <c r="AL126" s="409"/>
      <c r="AM126" s="409"/>
    </row>
    <row r="127" spans="1:39" s="406" customFormat="1" ht="15">
      <c r="A127" s="425">
        <v>512511</v>
      </c>
      <c r="B127" s="431" t="s">
        <v>439</v>
      </c>
      <c r="C127" s="432">
        <f t="shared" si="11"/>
        <v>13000000</v>
      </c>
      <c r="D127" s="432">
        <v>13000000</v>
      </c>
      <c r="E127" s="432"/>
      <c r="F127" s="432"/>
      <c r="G127" s="419"/>
      <c r="H127" s="419"/>
      <c r="I127" s="419"/>
      <c r="J127" s="418">
        <f t="shared" si="9"/>
        <v>0</v>
      </c>
      <c r="K127" s="448">
        <f t="shared" si="10"/>
        <v>-13000000</v>
      </c>
      <c r="L127" s="409"/>
      <c r="M127" s="409"/>
      <c r="N127" s="409"/>
      <c r="O127" s="409"/>
      <c r="P127" s="409"/>
      <c r="Q127" s="408"/>
      <c r="R127" s="408"/>
      <c r="S127" s="408"/>
      <c r="T127" s="408"/>
      <c r="U127" s="408"/>
      <c r="V127" s="408"/>
      <c r="W127" s="408"/>
      <c r="X127" s="408"/>
      <c r="Y127" s="409"/>
      <c r="Z127" s="409"/>
      <c r="AA127" s="409"/>
      <c r="AB127" s="409"/>
      <c r="AC127" s="409"/>
      <c r="AD127" s="408"/>
      <c r="AE127" s="409"/>
      <c r="AF127" s="409"/>
      <c r="AG127" s="409"/>
      <c r="AH127" s="409"/>
      <c r="AI127" s="409"/>
      <c r="AJ127" s="409"/>
      <c r="AK127" s="409"/>
      <c r="AL127" s="409"/>
      <c r="AM127" s="409"/>
    </row>
    <row r="128" spans="1:39" s="406" customFormat="1" ht="29.25">
      <c r="A128" s="425">
        <v>512511</v>
      </c>
      <c r="B128" s="431" t="s">
        <v>440</v>
      </c>
      <c r="C128" s="432">
        <f t="shared" si="11"/>
        <v>12000000</v>
      </c>
      <c r="D128" s="432">
        <v>12000000</v>
      </c>
      <c r="E128" s="432"/>
      <c r="F128" s="432"/>
      <c r="G128" s="419"/>
      <c r="H128" s="419"/>
      <c r="I128" s="419"/>
      <c r="J128" s="418">
        <f t="shared" si="9"/>
        <v>0</v>
      </c>
      <c r="K128" s="448">
        <f t="shared" si="10"/>
        <v>-12000000</v>
      </c>
      <c r="L128" s="409"/>
      <c r="M128" s="409"/>
      <c r="N128" s="409"/>
      <c r="O128" s="409"/>
      <c r="P128" s="409"/>
      <c r="Q128" s="408"/>
      <c r="R128" s="408"/>
      <c r="S128" s="408"/>
      <c r="T128" s="408"/>
      <c r="U128" s="408"/>
      <c r="V128" s="408"/>
      <c r="W128" s="408"/>
      <c r="X128" s="408"/>
      <c r="Y128" s="409"/>
      <c r="Z128" s="409"/>
      <c r="AA128" s="409"/>
      <c r="AB128" s="409"/>
      <c r="AC128" s="409"/>
      <c r="AD128" s="408"/>
      <c r="AE128" s="409"/>
      <c r="AF128" s="409"/>
      <c r="AG128" s="409"/>
      <c r="AH128" s="409"/>
      <c r="AI128" s="409"/>
      <c r="AJ128" s="409"/>
      <c r="AK128" s="409"/>
      <c r="AL128" s="409"/>
      <c r="AM128" s="409"/>
    </row>
    <row r="129" spans="1:39" s="406" customFormat="1" ht="15">
      <c r="A129" s="425">
        <v>512511</v>
      </c>
      <c r="B129" s="431" t="s">
        <v>441</v>
      </c>
      <c r="C129" s="432">
        <f t="shared" si="11"/>
        <v>1000000</v>
      </c>
      <c r="D129" s="432">
        <v>1000000</v>
      </c>
      <c r="E129" s="432"/>
      <c r="F129" s="432"/>
      <c r="G129" s="419">
        <v>1000000</v>
      </c>
      <c r="H129" s="419"/>
      <c r="I129" s="419"/>
      <c r="J129" s="418">
        <f t="shared" si="9"/>
        <v>1000000</v>
      </c>
      <c r="K129" s="448">
        <f t="shared" si="10"/>
        <v>0</v>
      </c>
      <c r="L129" s="409"/>
      <c r="M129" s="409"/>
      <c r="N129" s="409"/>
      <c r="O129" s="409"/>
      <c r="P129" s="409"/>
      <c r="Q129" s="408"/>
      <c r="R129" s="408"/>
      <c r="S129" s="408"/>
      <c r="T129" s="408"/>
      <c r="U129" s="408"/>
      <c r="V129" s="408"/>
      <c r="W129" s="408"/>
      <c r="X129" s="408"/>
      <c r="Y129" s="409"/>
      <c r="Z129" s="409"/>
      <c r="AA129" s="409"/>
      <c r="AB129" s="409"/>
      <c r="AC129" s="409"/>
      <c r="AD129" s="408"/>
      <c r="AE129" s="409"/>
      <c r="AF129" s="408"/>
      <c r="AG129" s="408"/>
      <c r="AH129" s="408"/>
      <c r="AI129" s="408"/>
      <c r="AJ129" s="408"/>
      <c r="AK129" s="409"/>
      <c r="AL129" s="409"/>
      <c r="AM129" s="409"/>
    </row>
    <row r="130" spans="1:39" s="406" customFormat="1" ht="15">
      <c r="A130" s="425">
        <v>512511</v>
      </c>
      <c r="B130" s="431" t="s">
        <v>442</v>
      </c>
      <c r="C130" s="432">
        <f t="shared" si="11"/>
        <v>28280000</v>
      </c>
      <c r="D130" s="432">
        <v>28280000</v>
      </c>
      <c r="E130" s="432"/>
      <c r="F130" s="432"/>
      <c r="G130" s="419"/>
      <c r="H130" s="419"/>
      <c r="I130" s="419"/>
      <c r="J130" s="418">
        <f t="shared" si="9"/>
        <v>0</v>
      </c>
      <c r="K130" s="448">
        <f t="shared" si="10"/>
        <v>-28280000</v>
      </c>
      <c r="L130" s="409"/>
      <c r="M130" s="409"/>
      <c r="N130" s="409"/>
      <c r="O130" s="409"/>
      <c r="P130" s="409"/>
      <c r="Q130" s="408"/>
      <c r="R130" s="408"/>
      <c r="S130" s="408"/>
      <c r="T130" s="408"/>
      <c r="U130" s="408"/>
      <c r="V130" s="408"/>
      <c r="W130" s="408"/>
      <c r="X130" s="408"/>
      <c r="Y130" s="409"/>
      <c r="Z130" s="409"/>
      <c r="AA130" s="409"/>
      <c r="AB130" s="409"/>
      <c r="AC130" s="409"/>
      <c r="AD130" s="408"/>
      <c r="AE130" s="409"/>
      <c r="AF130" s="408"/>
      <c r="AG130" s="408"/>
      <c r="AH130" s="408"/>
      <c r="AI130" s="408"/>
      <c r="AJ130" s="408"/>
      <c r="AK130" s="409"/>
      <c r="AL130" s="409"/>
      <c r="AM130" s="409"/>
    </row>
    <row r="131" spans="1:39" s="406" customFormat="1" ht="15">
      <c r="A131" s="425">
        <v>512511</v>
      </c>
      <c r="B131" s="431" t="s">
        <v>443</v>
      </c>
      <c r="C131" s="432">
        <f t="shared" si="11"/>
        <v>620000</v>
      </c>
      <c r="D131" s="432"/>
      <c r="E131" s="432">
        <v>620000</v>
      </c>
      <c r="F131" s="432"/>
      <c r="G131" s="419"/>
      <c r="H131" s="419"/>
      <c r="I131" s="419"/>
      <c r="J131" s="418">
        <f t="shared" si="9"/>
        <v>0</v>
      </c>
      <c r="K131" s="448">
        <f t="shared" si="10"/>
        <v>-620000</v>
      </c>
      <c r="L131" s="409"/>
      <c r="M131" s="409"/>
      <c r="N131" s="409"/>
      <c r="O131" s="409"/>
      <c r="P131" s="409"/>
      <c r="Q131" s="408"/>
      <c r="R131" s="408"/>
      <c r="S131" s="408"/>
      <c r="T131" s="408"/>
      <c r="U131" s="408"/>
      <c r="V131" s="408"/>
      <c r="W131" s="408"/>
      <c r="X131" s="408"/>
      <c r="Y131" s="409"/>
      <c r="Z131" s="409"/>
      <c r="AA131" s="409"/>
      <c r="AB131" s="409"/>
      <c r="AC131" s="409"/>
      <c r="AD131" s="408"/>
      <c r="AE131" s="409"/>
      <c r="AF131" s="408"/>
      <c r="AG131" s="408"/>
      <c r="AH131" s="408"/>
      <c r="AI131" s="408"/>
      <c r="AJ131" s="408"/>
      <c r="AK131" s="409"/>
      <c r="AL131" s="409"/>
      <c r="AM131" s="409"/>
    </row>
    <row r="132" spans="1:39" s="406" customFormat="1" ht="15">
      <c r="A132" s="425">
        <v>512511</v>
      </c>
      <c r="B132" s="431" t="s">
        <v>444</v>
      </c>
      <c r="C132" s="432">
        <f t="shared" si="11"/>
        <v>50000</v>
      </c>
      <c r="D132" s="432"/>
      <c r="E132" s="432">
        <v>50000</v>
      </c>
      <c r="F132" s="432"/>
      <c r="G132" s="419"/>
      <c r="H132" s="419">
        <v>50000</v>
      </c>
      <c r="I132" s="419"/>
      <c r="J132" s="418">
        <f t="shared" si="9"/>
        <v>50000</v>
      </c>
      <c r="K132" s="448">
        <f t="shared" si="10"/>
        <v>0</v>
      </c>
      <c r="L132" s="409"/>
      <c r="M132" s="409"/>
      <c r="N132" s="409"/>
      <c r="O132" s="409"/>
      <c r="P132" s="409"/>
      <c r="Q132" s="408"/>
      <c r="R132" s="408"/>
      <c r="S132" s="408"/>
      <c r="T132" s="408"/>
      <c r="U132" s="408"/>
      <c r="V132" s="408"/>
      <c r="W132" s="408"/>
      <c r="X132" s="408"/>
      <c r="Y132" s="409"/>
      <c r="Z132" s="409"/>
      <c r="AA132" s="409"/>
      <c r="AB132" s="409"/>
      <c r="AC132" s="409"/>
      <c r="AD132" s="408"/>
      <c r="AE132" s="409"/>
      <c r="AF132" s="408"/>
      <c r="AG132" s="408"/>
      <c r="AH132" s="408"/>
      <c r="AI132" s="408"/>
      <c r="AJ132" s="408"/>
      <c r="AK132" s="409"/>
      <c r="AL132" s="409"/>
      <c r="AM132" s="409"/>
    </row>
    <row r="133" spans="1:39" s="406" customFormat="1" ht="15">
      <c r="A133" s="425">
        <v>512511</v>
      </c>
      <c r="B133" s="431" t="s">
        <v>445</v>
      </c>
      <c r="C133" s="432">
        <f t="shared" si="11"/>
        <v>1250000</v>
      </c>
      <c r="D133" s="432">
        <v>1250000</v>
      </c>
      <c r="E133" s="432"/>
      <c r="F133" s="432"/>
      <c r="G133" s="419">
        <v>1250000</v>
      </c>
      <c r="H133" s="419"/>
      <c r="I133" s="419"/>
      <c r="J133" s="418">
        <f t="shared" si="9"/>
        <v>1250000</v>
      </c>
      <c r="K133" s="448">
        <f t="shared" si="10"/>
        <v>0</v>
      </c>
      <c r="L133" s="409"/>
      <c r="M133" s="409"/>
      <c r="N133" s="409"/>
      <c r="O133" s="409"/>
      <c r="P133" s="409"/>
      <c r="Q133" s="408"/>
      <c r="R133" s="408"/>
      <c r="S133" s="408"/>
      <c r="T133" s="408"/>
      <c r="U133" s="408"/>
      <c r="V133" s="408"/>
      <c r="W133" s="408"/>
      <c r="X133" s="408"/>
      <c r="Y133" s="409"/>
      <c r="Z133" s="409"/>
      <c r="AA133" s="409"/>
      <c r="AB133" s="409"/>
      <c r="AC133" s="409"/>
      <c r="AD133" s="408"/>
      <c r="AE133" s="409"/>
      <c r="AF133" s="408"/>
      <c r="AG133" s="408"/>
      <c r="AH133" s="408"/>
      <c r="AI133" s="408"/>
      <c r="AJ133" s="408"/>
      <c r="AK133" s="409"/>
      <c r="AL133" s="409"/>
      <c r="AM133" s="409"/>
    </row>
    <row r="134" spans="1:39" s="404" customFormat="1" ht="15">
      <c r="A134" s="425">
        <v>512511</v>
      </c>
      <c r="B134" s="431" t="s">
        <v>446</v>
      </c>
      <c r="C134" s="432">
        <f t="shared" si="11"/>
        <v>1000000</v>
      </c>
      <c r="D134" s="432"/>
      <c r="E134" s="432">
        <v>1000000</v>
      </c>
      <c r="F134" s="432"/>
      <c r="G134" s="418"/>
      <c r="H134" s="419">
        <v>1000000</v>
      </c>
      <c r="I134" s="419"/>
      <c r="J134" s="418">
        <f t="shared" si="9"/>
        <v>1000000</v>
      </c>
      <c r="K134" s="448">
        <f t="shared" si="10"/>
        <v>0</v>
      </c>
      <c r="L134" s="409"/>
      <c r="M134" s="409"/>
      <c r="N134" s="409"/>
      <c r="O134" s="409"/>
      <c r="P134" s="409"/>
      <c r="Q134" s="408"/>
      <c r="R134" s="408"/>
      <c r="S134" s="408"/>
      <c r="T134" s="408"/>
      <c r="U134" s="408"/>
      <c r="V134" s="408"/>
      <c r="W134" s="408"/>
      <c r="X134" s="408"/>
      <c r="Y134" s="409"/>
      <c r="Z134" s="409"/>
      <c r="AA134" s="409"/>
      <c r="AB134" s="409"/>
      <c r="AC134" s="409"/>
      <c r="AD134" s="408"/>
      <c r="AE134" s="409"/>
      <c r="AF134" s="408"/>
      <c r="AG134" s="408"/>
      <c r="AH134" s="408"/>
      <c r="AI134" s="408"/>
      <c r="AJ134" s="408"/>
      <c r="AK134" s="409"/>
      <c r="AL134" s="409"/>
      <c r="AM134" s="409"/>
    </row>
    <row r="135" spans="1:39" s="406" customFormat="1" ht="15">
      <c r="A135" s="425">
        <v>512511</v>
      </c>
      <c r="B135" s="431" t="s">
        <v>447</v>
      </c>
      <c r="C135" s="432">
        <f t="shared" si="11"/>
        <v>600000</v>
      </c>
      <c r="D135" s="432"/>
      <c r="E135" s="432">
        <v>600000</v>
      </c>
      <c r="F135" s="432"/>
      <c r="G135" s="419"/>
      <c r="H135" s="419"/>
      <c r="I135" s="419"/>
      <c r="J135" s="418">
        <f t="shared" si="9"/>
        <v>0</v>
      </c>
      <c r="K135" s="448">
        <f t="shared" si="10"/>
        <v>-600000</v>
      </c>
      <c r="L135" s="409"/>
      <c r="M135" s="409"/>
      <c r="N135" s="409"/>
      <c r="O135" s="409"/>
      <c r="P135" s="409"/>
      <c r="Q135" s="408"/>
      <c r="R135" s="408"/>
      <c r="S135" s="408"/>
      <c r="T135" s="408"/>
      <c r="U135" s="408"/>
      <c r="V135" s="408"/>
      <c r="W135" s="408"/>
      <c r="X135" s="408"/>
      <c r="Y135" s="409"/>
      <c r="Z135" s="409"/>
      <c r="AA135" s="409"/>
      <c r="AB135" s="409"/>
      <c r="AC135" s="409"/>
      <c r="AD135" s="408"/>
      <c r="AE135" s="409"/>
      <c r="AF135" s="408"/>
      <c r="AG135" s="408"/>
      <c r="AH135" s="408"/>
      <c r="AI135" s="408"/>
      <c r="AJ135" s="408"/>
      <c r="AK135" s="409"/>
      <c r="AL135" s="409"/>
      <c r="AM135" s="409"/>
    </row>
    <row r="136" spans="1:39" s="406" customFormat="1" ht="15">
      <c r="A136" s="425">
        <v>512511</v>
      </c>
      <c r="B136" s="406" t="s">
        <v>448</v>
      </c>
      <c r="C136" s="432">
        <f t="shared" si="11"/>
        <v>111600</v>
      </c>
      <c r="D136" s="428"/>
      <c r="E136" s="428">
        <v>111600</v>
      </c>
      <c r="F136" s="428"/>
      <c r="G136" s="419"/>
      <c r="H136" s="419"/>
      <c r="I136" s="419"/>
      <c r="J136" s="418">
        <f t="shared" si="9"/>
        <v>0</v>
      </c>
      <c r="K136" s="448">
        <f t="shared" si="10"/>
        <v>-111600</v>
      </c>
      <c r="L136" s="409"/>
      <c r="M136" s="409"/>
      <c r="N136" s="409"/>
      <c r="O136" s="409"/>
      <c r="P136" s="409"/>
      <c r="Q136" s="408"/>
      <c r="R136" s="408"/>
      <c r="S136" s="408"/>
      <c r="T136" s="408"/>
      <c r="U136" s="408"/>
      <c r="V136" s="408"/>
      <c r="W136" s="408"/>
      <c r="X136" s="408"/>
      <c r="Y136" s="409"/>
      <c r="Z136" s="409"/>
      <c r="AA136" s="409"/>
      <c r="AB136" s="409"/>
      <c r="AC136" s="409"/>
      <c r="AD136" s="408"/>
      <c r="AE136" s="409"/>
      <c r="AF136" s="408"/>
      <c r="AG136" s="408"/>
      <c r="AH136" s="408"/>
      <c r="AI136" s="408"/>
      <c r="AJ136" s="408"/>
      <c r="AK136" s="409"/>
      <c r="AL136" s="409"/>
      <c r="AM136" s="409"/>
    </row>
    <row r="137" spans="1:39" s="404" customFormat="1" ht="15">
      <c r="A137" s="425">
        <v>512511</v>
      </c>
      <c r="B137" s="431" t="s">
        <v>449</v>
      </c>
      <c r="C137" s="432">
        <f t="shared" si="11"/>
        <v>125000</v>
      </c>
      <c r="D137" s="432"/>
      <c r="E137" s="432">
        <v>125000</v>
      </c>
      <c r="F137" s="432"/>
      <c r="G137" s="418"/>
      <c r="H137" s="419">
        <v>125000</v>
      </c>
      <c r="I137" s="419"/>
      <c r="J137" s="418">
        <f t="shared" si="9"/>
        <v>125000</v>
      </c>
      <c r="K137" s="448">
        <f t="shared" si="10"/>
        <v>0</v>
      </c>
      <c r="L137" s="409"/>
      <c r="M137" s="409"/>
      <c r="N137" s="409"/>
      <c r="O137" s="409"/>
      <c r="P137" s="409"/>
      <c r="Q137" s="408"/>
      <c r="R137" s="408"/>
      <c r="S137" s="408"/>
      <c r="T137" s="408"/>
      <c r="U137" s="408"/>
      <c r="V137" s="408"/>
      <c r="W137" s="408"/>
      <c r="X137" s="408"/>
      <c r="Y137" s="409"/>
      <c r="Z137" s="409"/>
      <c r="AA137" s="409"/>
      <c r="AB137" s="409"/>
      <c r="AC137" s="409"/>
      <c r="AD137" s="408"/>
      <c r="AE137" s="409"/>
      <c r="AF137" s="408"/>
      <c r="AG137" s="408"/>
      <c r="AH137" s="408"/>
      <c r="AI137" s="408"/>
      <c r="AJ137" s="408"/>
      <c r="AK137" s="409"/>
      <c r="AL137" s="409"/>
      <c r="AM137" s="409"/>
    </row>
    <row r="138" spans="1:39" s="406" customFormat="1" ht="23.25" customHeight="1">
      <c r="A138" s="425">
        <v>512511</v>
      </c>
      <c r="B138" s="431" t="s">
        <v>450</v>
      </c>
      <c r="C138" s="432">
        <f t="shared" si="11"/>
        <v>150000</v>
      </c>
      <c r="D138" s="432"/>
      <c r="E138" s="432">
        <v>150000</v>
      </c>
      <c r="F138" s="432"/>
      <c r="G138" s="419"/>
      <c r="H138" s="419">
        <v>150000</v>
      </c>
      <c r="I138" s="419"/>
      <c r="J138" s="418">
        <f t="shared" si="9"/>
        <v>150000</v>
      </c>
      <c r="K138" s="448">
        <f t="shared" si="10"/>
        <v>0</v>
      </c>
      <c r="L138" s="409"/>
      <c r="M138" s="409"/>
      <c r="N138" s="409"/>
      <c r="O138" s="409"/>
      <c r="P138" s="409"/>
      <c r="Q138" s="408"/>
      <c r="R138" s="408"/>
      <c r="S138" s="408"/>
      <c r="T138" s="408"/>
      <c r="U138" s="408"/>
      <c r="V138" s="408"/>
      <c r="W138" s="408"/>
      <c r="X138" s="408"/>
      <c r="Y138" s="409"/>
      <c r="Z138" s="409"/>
      <c r="AA138" s="409"/>
      <c r="AB138" s="409"/>
      <c r="AC138" s="409"/>
      <c r="AD138" s="408"/>
      <c r="AE138" s="409"/>
      <c r="AF138" s="408"/>
      <c r="AG138" s="408"/>
      <c r="AH138" s="408"/>
      <c r="AI138" s="408"/>
      <c r="AJ138" s="408"/>
      <c r="AK138" s="409"/>
      <c r="AL138" s="409"/>
      <c r="AM138" s="409"/>
    </row>
    <row r="139" spans="1:39" s="406" customFormat="1" ht="23.25" customHeight="1">
      <c r="A139" s="425">
        <v>512511</v>
      </c>
      <c r="B139" s="425" t="s">
        <v>451</v>
      </c>
      <c r="C139" s="432">
        <f t="shared" si="11"/>
        <v>50000</v>
      </c>
      <c r="D139" s="426"/>
      <c r="E139" s="426">
        <v>50000</v>
      </c>
      <c r="F139" s="426"/>
      <c r="G139" s="419"/>
      <c r="H139" s="419">
        <v>50000</v>
      </c>
      <c r="I139" s="419"/>
      <c r="J139" s="418">
        <f t="shared" si="9"/>
        <v>50000</v>
      </c>
      <c r="K139" s="448">
        <f t="shared" si="10"/>
        <v>0</v>
      </c>
      <c r="L139" s="409"/>
      <c r="M139" s="409"/>
      <c r="N139" s="409"/>
      <c r="O139" s="409"/>
      <c r="P139" s="409"/>
      <c r="Q139" s="408"/>
      <c r="R139" s="408"/>
      <c r="S139" s="408"/>
      <c r="T139" s="408"/>
      <c r="U139" s="408"/>
      <c r="V139" s="408"/>
      <c r="W139" s="408"/>
      <c r="X139" s="408"/>
      <c r="Y139" s="409"/>
      <c r="Z139" s="409"/>
      <c r="AA139" s="409"/>
      <c r="AB139" s="409"/>
      <c r="AC139" s="409"/>
      <c r="AD139" s="408"/>
      <c r="AE139" s="409"/>
      <c r="AF139" s="408"/>
      <c r="AG139" s="408"/>
      <c r="AH139" s="408"/>
      <c r="AI139" s="408"/>
      <c r="AJ139" s="409"/>
      <c r="AK139" s="409"/>
      <c r="AL139" s="409"/>
      <c r="AM139" s="409"/>
    </row>
    <row r="140" spans="1:39" s="406" customFormat="1" ht="15">
      <c r="A140" s="425">
        <v>512511</v>
      </c>
      <c r="B140" s="425" t="s">
        <v>452</v>
      </c>
      <c r="C140" s="432">
        <f t="shared" si="11"/>
        <v>320000</v>
      </c>
      <c r="D140" s="426"/>
      <c r="E140" s="426">
        <v>320000</v>
      </c>
      <c r="F140" s="426"/>
      <c r="G140" s="418"/>
      <c r="H140" s="468">
        <v>320000</v>
      </c>
      <c r="I140" s="468"/>
      <c r="J140" s="418">
        <f t="shared" si="9"/>
        <v>320000</v>
      </c>
      <c r="K140" s="448">
        <f t="shared" si="10"/>
        <v>0</v>
      </c>
      <c r="L140" s="409"/>
      <c r="M140" s="409"/>
      <c r="N140" s="409"/>
      <c r="O140" s="409"/>
      <c r="P140" s="409"/>
      <c r="Q140" s="408"/>
      <c r="R140" s="408"/>
      <c r="S140" s="408"/>
      <c r="T140" s="408"/>
      <c r="U140" s="408"/>
      <c r="V140" s="408"/>
      <c r="W140" s="408"/>
      <c r="X140" s="408"/>
      <c r="Y140" s="409"/>
      <c r="Z140" s="409"/>
      <c r="AA140" s="409"/>
      <c r="AB140" s="409"/>
      <c r="AC140" s="409"/>
      <c r="AD140" s="408"/>
      <c r="AE140" s="409"/>
      <c r="AF140" s="408"/>
      <c r="AG140" s="408"/>
      <c r="AH140" s="408"/>
      <c r="AI140" s="408"/>
      <c r="AJ140" s="409"/>
      <c r="AK140" s="409"/>
      <c r="AL140" s="409"/>
      <c r="AM140" s="409"/>
    </row>
    <row r="141" spans="1:30" ht="15">
      <c r="A141" s="425">
        <v>512511</v>
      </c>
      <c r="B141" s="431" t="s">
        <v>453</v>
      </c>
      <c r="C141" s="432">
        <f t="shared" si="11"/>
        <v>180000</v>
      </c>
      <c r="D141" s="432"/>
      <c r="E141" s="432">
        <v>180000</v>
      </c>
      <c r="F141" s="432"/>
      <c r="G141" s="419"/>
      <c r="H141" s="419">
        <v>180000</v>
      </c>
      <c r="I141" s="419"/>
      <c r="J141" s="418">
        <f t="shared" si="9"/>
        <v>180000</v>
      </c>
      <c r="K141" s="448">
        <f t="shared" si="10"/>
        <v>0</v>
      </c>
      <c r="P141" s="409"/>
      <c r="X141" s="408"/>
      <c r="AC141" s="409"/>
      <c r="AD141" s="408"/>
    </row>
    <row r="142" spans="1:30" ht="29.25">
      <c r="A142" s="425">
        <v>512511</v>
      </c>
      <c r="B142" s="431" t="s">
        <v>454</v>
      </c>
      <c r="C142" s="432">
        <f t="shared" si="11"/>
        <v>0</v>
      </c>
      <c r="D142" s="432"/>
      <c r="E142" s="432"/>
      <c r="F142" s="432"/>
      <c r="G142" s="419">
        <v>4060000</v>
      </c>
      <c r="H142" s="419"/>
      <c r="I142" s="419"/>
      <c r="J142" s="418">
        <f t="shared" si="9"/>
        <v>4060000</v>
      </c>
      <c r="K142" s="448">
        <f t="shared" si="10"/>
        <v>4060000</v>
      </c>
      <c r="P142" s="409"/>
      <c r="X142" s="408"/>
      <c r="AC142" s="409"/>
      <c r="AD142" s="408"/>
    </row>
    <row r="143" spans="1:30" ht="15">
      <c r="A143" s="420">
        <v>512500</v>
      </c>
      <c r="B143" s="427" t="s">
        <v>455</v>
      </c>
      <c r="C143" s="432">
        <f t="shared" si="11"/>
        <v>0</v>
      </c>
      <c r="D143" s="432"/>
      <c r="E143" s="432"/>
      <c r="F143" s="429"/>
      <c r="G143" s="418">
        <v>3125000</v>
      </c>
      <c r="H143" s="419"/>
      <c r="I143" s="419"/>
      <c r="J143" s="418">
        <f t="shared" si="9"/>
        <v>3125000</v>
      </c>
      <c r="K143" s="448">
        <f t="shared" si="10"/>
        <v>3125000</v>
      </c>
      <c r="P143" s="409"/>
      <c r="X143" s="408"/>
      <c r="AC143" s="409"/>
      <c r="AD143" s="408"/>
    </row>
    <row r="144" spans="1:35" ht="15">
      <c r="A144" s="420"/>
      <c r="B144" s="427" t="s">
        <v>349</v>
      </c>
      <c r="C144" s="429">
        <f>C112+C115+C125</f>
        <v>74504600</v>
      </c>
      <c r="D144" s="429">
        <f>D112+D115+D125</f>
        <v>66330000</v>
      </c>
      <c r="E144" s="429">
        <f>E112+E115+E125</f>
        <v>8174600</v>
      </c>
      <c r="F144" s="429"/>
      <c r="G144" s="418">
        <f>G112+G115+G125</f>
        <v>9435000</v>
      </c>
      <c r="H144" s="418">
        <f>H112+H115+H125+H143</f>
        <v>13155000</v>
      </c>
      <c r="I144" s="418"/>
      <c r="J144" s="418">
        <f t="shared" si="9"/>
        <v>22590000</v>
      </c>
      <c r="K144" s="448">
        <f t="shared" si="10"/>
        <v>-51914600</v>
      </c>
      <c r="P144" s="409"/>
      <c r="X144" s="408"/>
      <c r="AC144" s="409"/>
      <c r="AD144" s="408"/>
      <c r="AF144" s="408"/>
      <c r="AG144" s="408"/>
      <c r="AH144" s="408"/>
      <c r="AI144" s="408"/>
    </row>
    <row r="145" spans="31:34" ht="14.25">
      <c r="AE145" s="408"/>
      <c r="AF145" s="408"/>
      <c r="AG145" s="408"/>
      <c r="AH145" s="408"/>
    </row>
    <row r="146" spans="7:34" ht="14.25">
      <c r="G146" s="407"/>
      <c r="H146" s="407"/>
      <c r="AE146" s="408"/>
      <c r="AF146" s="408"/>
      <c r="AG146" s="408"/>
      <c r="AH146" s="408"/>
    </row>
    <row r="147" spans="31:34" ht="14.25">
      <c r="AE147" s="408"/>
      <c r="AF147" s="408"/>
      <c r="AG147" s="408"/>
      <c r="AH147" s="408"/>
    </row>
    <row r="148" spans="30:34" ht="14.25">
      <c r="AD148" s="408"/>
      <c r="AE148" s="408"/>
      <c r="AF148" s="408"/>
      <c r="AG148" s="408"/>
      <c r="AH148" s="408"/>
    </row>
    <row r="149" spans="30:31" ht="14.25">
      <c r="AD149" s="408"/>
      <c r="AE149" s="408"/>
    </row>
    <row r="150" spans="30:31" ht="14.25">
      <c r="AD150" s="408"/>
      <c r="AE150" s="408"/>
    </row>
    <row r="151" spans="30:31" ht="14.25">
      <c r="AD151" s="408"/>
      <c r="AE151" s="408"/>
    </row>
  </sheetData>
  <sheetProtection/>
  <mergeCells count="3">
    <mergeCell ref="G3:J3"/>
    <mergeCell ref="G46:L46"/>
    <mergeCell ref="G109:J10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1"/>
  <rowBreaks count="3" manualBreakCount="3">
    <brk id="41" max="41" man="1"/>
    <brk id="77" max="255" man="1"/>
    <brk id="105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2017-01-20T09:40:16Z</cp:lastPrinted>
  <dcterms:created xsi:type="dcterms:W3CDTF">2008-04-04T16:04:18Z</dcterms:created>
  <dcterms:modified xsi:type="dcterms:W3CDTF">2017-02-06T09:30:25Z</dcterms:modified>
  <cp:category/>
  <cp:version/>
  <cp:contentType/>
  <cp:contentStatus/>
</cp:coreProperties>
</file>